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55" activeTab="0"/>
  </bookViews>
  <sheets>
    <sheet name="令和6年度国保試算表" sheetId="1" r:id="rId1"/>
    <sheet name="データ" sheetId="2" r:id="rId2"/>
  </sheets>
  <definedNames>
    <definedName name="_xlfn.GAMMA.DIST" hidden="1">#NAME?</definedName>
    <definedName name="_xlnm.Print_Area" localSheetId="0">'令和6年度国保試算表'!$A$1:$O$44</definedName>
    <definedName name="高齢" localSheetId="0">'令和6年度国保試算表'!$W$10:$X$14</definedName>
    <definedName name="高齢">#REF!</definedName>
    <definedName name="高齢２" localSheetId="0">'令和6年度国保試算表'!$W$15:$X$19</definedName>
    <definedName name="高齢２">#REF!</definedName>
    <definedName name="高齢３" localSheetId="0">'令和6年度国保試算表'!$W$20:$X$24</definedName>
    <definedName name="高齢３">#REF!</definedName>
    <definedName name="高齢４" localSheetId="0">'令和6年度国保試算表'!$W$25:$X$29</definedName>
    <definedName name="高齢４">#REF!</definedName>
    <definedName name="高齢５" localSheetId="0">'令和6年度国保試算表'!$W$30:$X$35</definedName>
    <definedName name="高齢５">#REF!</definedName>
    <definedName name="大人">#REF!</definedName>
    <definedName name="中齢" localSheetId="0">'令和6年度国保試算表'!$Y$10:$Z$14</definedName>
    <definedName name="中齢">#REF!</definedName>
    <definedName name="中齢２" localSheetId="0">'令和6年度国保試算表'!$Y$15:$Z$19</definedName>
    <definedName name="中齢２">#REF!</definedName>
    <definedName name="中齢３" localSheetId="0">'令和6年度国保試算表'!$Y$20:$Z$24</definedName>
    <definedName name="中齢３">#REF!</definedName>
    <definedName name="中齢４" localSheetId="0">'令和6年度国保試算表'!$Y$25:$Z$29</definedName>
    <definedName name="中齢４">#REF!</definedName>
    <definedName name="中齢５" localSheetId="0">'令和6年度国保試算表'!$Y$30:$Z$35</definedName>
    <definedName name="中齢５">#REF!</definedName>
  </definedNames>
  <calcPr fullCalcOnLoad="1"/>
</workbook>
</file>

<file path=xl/sharedStrings.xml><?xml version="1.0" encoding="utf-8"?>
<sst xmlns="http://schemas.openxmlformats.org/spreadsheetml/2006/main" count="111" uniqueCount="100">
  <si>
    <t>所得割</t>
  </si>
  <si>
    <t>限度額</t>
  </si>
  <si>
    <t>医療分</t>
  </si>
  <si>
    <t>後期高齢者分</t>
  </si>
  <si>
    <t>介護分</t>
  </si>
  <si>
    <t>給与所得</t>
  </si>
  <si>
    <t>基準総所得金額</t>
  </si>
  <si>
    <t>税率</t>
  </si>
  <si>
    <t>加入人数</t>
  </si>
  <si>
    <t>所得割額</t>
  </si>
  <si>
    <t>②確定申告所得</t>
  </si>
  <si>
    <t>③給与収入</t>
  </si>
  <si>
    <t>a</t>
  </si>
  <si>
    <t>b</t>
  </si>
  <si>
    <t>基礎控除</t>
  </si>
  <si>
    <t>※　各々の合計額が限度額に達した場合、フォントを赤色太字に強調してあります。限度額が変更になった場合、その部分は自動で変更されないので、直す必要があります。直す方法は以下のとおりです。</t>
  </si>
  <si>
    <t>①　直す必要のあるセルにカーソルをもっていく。</t>
  </si>
  <si>
    <t>③　限度額を訂正する。</t>
  </si>
  <si>
    <t>計</t>
  </si>
  <si>
    <t>a×b＝c</t>
  </si>
  <si>
    <t>②　【書式】⇒【条件付き設定】で該当する箇所を参照する。</t>
  </si>
  <si>
    <t>合 計</t>
  </si>
  <si>
    <t>④公的年金収入</t>
  </si>
  <si>
    <t>公的年金所得</t>
  </si>
  <si>
    <t>合計所得</t>
  </si>
  <si>
    <t>支援分</t>
  </si>
  <si>
    <t>国保に</t>
  </si>
  <si>
    <t>【注意】</t>
  </si>
  <si>
    <t>１年度分の保険税額（４月～翌年３月）</t>
  </si>
  <si>
    <t>（例）他の社会保険から加入される場合</t>
  </si>
  <si>
    <t>から加入</t>
  </si>
  <si>
    <t>４月</t>
  </si>
  <si>
    <t>５月</t>
  </si>
  <si>
    <t>６月</t>
  </si>
  <si>
    <t>７月</t>
  </si>
  <si>
    <t>８月</t>
  </si>
  <si>
    <t>９月</t>
  </si>
  <si>
    <t>１０月</t>
  </si>
  <si>
    <t>１１月</t>
  </si>
  <si>
    <t>１月</t>
  </si>
  <si>
    <t>２月</t>
  </si>
  <si>
    <t>３月</t>
  </si>
  <si>
    <t>６人目</t>
  </si>
  <si>
    <t>e</t>
  </si>
  <si>
    <t>d</t>
  </si>
  <si>
    <t>d×e=f</t>
  </si>
  <si>
    <t>年税額及び１か月当たりの税額が算出されます。</t>
  </si>
  <si>
    <t>40～64歳</t>
  </si>
  <si>
    <t>（12か月分）</t>
  </si>
  <si>
    <t>ふじみ野市　国民健康保険税の試算表</t>
  </si>
  <si>
    <t>【国民健康保険に加入する場合の手続きの方法】</t>
  </si>
  <si>
    <t>②③④⑤の該当するところに、それぞれの人の前年中の収入額または所得額を入力してください。</t>
  </si>
  <si>
    <t>給与収入のあった人は③に入力してください。（源泉徴収票をお持ちの方は支払金額を入力してください。）</t>
  </si>
  <si>
    <t>②③④以外の所得（分離課税所得を除く）があった人は⑤に入力してください。</t>
  </si>
  <si>
    <t>１か月あたりの保険税額</t>
  </si>
  <si>
    <t>①加入者の年齢区分</t>
  </si>
  <si>
    <t>１人目</t>
  </si>
  <si>
    <t>２人目</t>
  </si>
  <si>
    <t>３人目</t>
  </si>
  <si>
    <t>４人目</t>
  </si>
  <si>
    <t>５人目</t>
  </si>
  <si>
    <t>⑤その他所得</t>
  </si>
  <si>
    <t>・健康保険資格喪失証明書、退職証明書など　</t>
  </si>
  <si>
    <t>　◎次の順序にしたがい、太枠内（黄色部分）に情報を入力してください。</t>
  </si>
  <si>
    <t>４</t>
  </si>
  <si>
    <t>５</t>
  </si>
  <si>
    <t>１</t>
  </si>
  <si>
    <t>２</t>
  </si>
  <si>
    <t>１.</t>
  </si>
  <si>
    <t>２.</t>
  </si>
  <si>
    <t>３.</t>
  </si>
  <si>
    <t>４.</t>
  </si>
  <si>
    <t>65～74歳</t>
  </si>
  <si>
    <r>
      <t>確定申告をした人は下の欄の②に、確定申告書の「所得金額合計」欄の金額を入力してください</t>
    </r>
    <r>
      <rPr>
        <sz val="9"/>
        <color indexed="10"/>
        <rFont val="Meiryo UI"/>
        <family val="3"/>
      </rPr>
      <t>（他の欄に入力する必要はありません）</t>
    </r>
    <r>
      <rPr>
        <sz val="9"/>
        <rFont val="Meiryo UI"/>
        <family val="3"/>
      </rPr>
      <t>。</t>
    </r>
    <r>
      <rPr>
        <sz val="9"/>
        <color indexed="10"/>
        <rFont val="Meiryo UI"/>
        <family val="3"/>
      </rPr>
      <t>←「課税される所得金額」ではありません。</t>
    </r>
  </si>
  <si>
    <r>
      <t>公的年金の収入のあった人は④に入力してください（源泉徴収票をお持ちの方は支払金額を入力してください）。</t>
    </r>
    <r>
      <rPr>
        <sz val="9"/>
        <color indexed="10"/>
        <rFont val="Meiryo UI"/>
        <family val="3"/>
      </rPr>
      <t>←遺族年金、障害年金は除いてください。</t>
    </r>
  </si>
  <si>
    <t>1人あたり</t>
  </si>
  <si>
    <t>必要な書類をお持ちの上、市役所保険・年金課､大井総合支所市民総合窓口課で手続きをしてください。</t>
  </si>
  <si>
    <t>１２月</t>
  </si>
  <si>
    <t>均等割</t>
  </si>
  <si>
    <t>【問合せ】ふじみ野市役所　保険・年金課保険税係　049-262-9039（直通）</t>
  </si>
  <si>
    <t>給与収入</t>
  </si>
  <si>
    <t>年金収入</t>
  </si>
  <si>
    <t>年金所得</t>
  </si>
  <si>
    <t>高齢</t>
  </si>
  <si>
    <t>中齢</t>
  </si>
  <si>
    <t>g</t>
  </si>
  <si>
    <t>h</t>
  </si>
  <si>
    <t>g×h=i</t>
  </si>
  <si>
    <t>c ＋ f ＋ i</t>
  </si>
  <si>
    <t>賦課限度額</t>
  </si>
  <si>
    <t>均等割額(未就学児)</t>
  </si>
  <si>
    <t>均等割額(未就学児以外)</t>
  </si>
  <si>
    <t>←空欄セルのカウント</t>
  </si>
  <si>
    <t>←未就学児以外の人数カウント</t>
  </si>
  <si>
    <t>0～5歳</t>
  </si>
  <si>
    <t>6～39歳</t>
  </si>
  <si>
    <t>・写真付きの本人確認書類（マイナンバーカード、運転免許証、パスポートなど）</t>
  </si>
  <si>
    <t>・銀行のキャッシュカードまたは、通帳および認印</t>
  </si>
  <si>
    <t>（年齢区分は必ず選択してください。）</t>
  </si>
  <si>
    <r>
      <t>・計算結果は概算です。実際の税額とは異なる場合があります。特に、一定の所得以下の世帯には均等割の軽減が適用されますが、この試算では対応していません。また、以下の場合はこの試算表が使えませんので、お問い合わせください。
　①会社都合で退職した場合（軽減が適用になる場合があります）。
　②譲渡所得などの分離課税所得がある場合。
・年度の途中で４０歳または６５歳になる場合は、介護分が月割計算されるため計算結果と異なります。
・１か月あたりの保険税額と納期１回分の納付金額は異なります（</t>
    </r>
    <r>
      <rPr>
        <u val="double"/>
        <sz val="11"/>
        <color indexed="10"/>
        <rFont val="Meiryo UI"/>
        <family val="3"/>
      </rPr>
      <t>納付回数は9回です</t>
    </r>
    <r>
      <rPr>
        <sz val="11"/>
        <rFont val="Meiryo UI"/>
        <family val="3"/>
      </rPr>
      <t>）。
・給与所得と年金所得がある場合の所得調整控除は対応しておりません。</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</si>
</sst>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 "/>
    <numFmt numFmtId="179" formatCode="&quot;（平成&quot;@&quot;年度・案）&quot;"/>
    <numFmt numFmtId="180" formatCode="0&quot;年&quot;&quot;度&quot;"/>
    <numFmt numFmtId="181" formatCode="&quot;（平成&quot;@&quot;年度）&quot;"/>
    <numFmt numFmtId="182" formatCode="0&quot;万&quot;&quot;円&quot;"/>
    <numFmt numFmtId="183" formatCode="#\ ;\0;0"/>
    <numFmt numFmtId="184" formatCode="#,##0_ "/>
    <numFmt numFmtId="185" formatCode="#,##0_);[Red]\(#,##0\)"/>
    <numFmt numFmtId="186" formatCode="0_ "/>
    <numFmt numFmtId="187" formatCode="0&quot;人&quot;"/>
    <numFmt numFmtId="188" formatCode="0&quot;円&quot;"/>
    <numFmt numFmtId="189" formatCode="#,##0_ ;[Red]\-#,##0\ "/>
    <numFmt numFmtId="190" formatCode="###,###&quot;円&quot;"/>
    <numFmt numFmtId="191" formatCode="0&quot;割&quot;"/>
    <numFmt numFmtId="192" formatCode="[$-411]ggge&quot;年&quot;m&quot;月&quot;d&quot;日&quot;;@"/>
    <numFmt numFmtId="193" formatCode="[$-411]gggee"/>
    <numFmt numFmtId="194" formatCode="[$-411]gggee&quot;年&quot;"/>
    <numFmt numFmtId="195" formatCode="[$-411]gggee&quot;年１月１日&quot;"/>
    <numFmt numFmtId="196" formatCode="yyyy&quot;年&quot;"/>
    <numFmt numFmtId="197" formatCode="0&quot;割軽減適用&quot;"/>
    <numFmt numFmtId="198" formatCode="0&quot;ケ月&quot;"/>
    <numFmt numFmtId="199" formatCode="&quot;約&quot;###,###&quot;円&quot;"/>
    <numFmt numFmtId="200" formatCode="&quot;約&quot;###,###"/>
    <numFmt numFmtId="201" formatCode="#;\0;0"/>
    <numFmt numFmtId="202" formatCode="0&quot;回&quot;"/>
    <numFmt numFmtId="203" formatCode="0&quot;月から&quot;"/>
    <numFmt numFmtId="204" formatCode="0&quot;月&quot;"/>
    <numFmt numFmtId="205" formatCode="0&quot;ヶ月&quot;"/>
    <numFmt numFmtId="206" formatCode="#,##0.0_ "/>
    <numFmt numFmtId="207" formatCode="0&quot;月から加入&quot;"/>
    <numFmt numFmtId="208" formatCode="0&quot;ヶ月分&quot;"/>
    <numFmt numFmtId="209" formatCode="0&quot;回払い&quot;"/>
    <numFmt numFmtId="210" formatCode="\(0&quot;月）&quot;"/>
    <numFmt numFmtId="211" formatCode="0&quot;月～&quot;"/>
    <numFmt numFmtId="212" formatCode="\(0&quot;月～&quot;\)"/>
    <numFmt numFmtId="213" formatCode="&quot;加&quot;&quot;入&quot;&quot;月&quot;&quot;に&quot;&quot;よ&quot;&quot;り&quot;&quot;年&quot;&quot;税&quot;&quot;額&quot;&quot;は&quot;&quot;変&quot;&quot;わ&quot;&quot;り&quot;&quot;ま&quot;&quot;す&quot;.&quot;加&quot;&quot;入&quot;&quot;さ&quot;&quot;れ&quot;&quot;る&quot;&quot;月&quot;&quot;を&quot;&quot;選&quot;&quot;ぶ&quot;&quot;こ&quot;&quot;と&quot;&quot;に&quot;&quot;よ&quot;&quot;り&quot;\,&quot;0&quot;&quot;年&quot;&quot;度&quot;&quot;に&quot;&quot;納&quot;&quot;め&quot;&quot;て&quot;&quot;い&quot;&quot;た&quot;&quot;だ&quot;&quot;く&quot;&quot;保&quot;&quot;険&quot;&quot;税&quot;&quot;の&quot;&quot;概&quot;&quot;算&quot;&quot;が&quot;&quot;出&quot;&quot;ま&quot;&quot;す&quot;."/>
    <numFmt numFmtId="214" formatCode="&quot;m&quot;&quot;月&quot;"/>
    <numFmt numFmtId="215" formatCode="m&quot;月&quot;d&quot;日&quot;;@"/>
    <numFmt numFmtId="216" formatCode="0&quot;月末から&quot;"/>
    <numFmt numFmtId="217" formatCode="\(0&quot;ヶ月分&quot;\)"/>
    <numFmt numFmtId="218" formatCode="0&quot;年&quot;"/>
    <numFmt numFmtId="219" formatCode="&quot;（平成@年度）&quot;"/>
    <numFmt numFmtId="220" formatCode="&quot;平成&quot;0&quot;年度&quot;"/>
    <numFmt numFmtId="221" formatCode="&quot;令和&quot;0&quot;年度&quot;"/>
    <numFmt numFmtId="222" formatCode="&quot;（令和&quot;0&quot;年度）&quot;"/>
    <numFmt numFmtId="223" formatCode="0_);[Red]\(0\)"/>
    <numFmt numFmtId="224" formatCode="&quot;(令和&quot;0&quot;年度)&quot;"/>
  </numFmts>
  <fonts count="57">
    <font>
      <sz val="11"/>
      <name val="ＭＳ Ｐゴシック"/>
      <family val="3"/>
    </font>
    <font>
      <sz val="6"/>
      <name val="ＭＳ Ｐゴシック"/>
      <family val="3"/>
    </font>
    <font>
      <u val="single"/>
      <sz val="11.45"/>
      <color indexed="12"/>
      <name val="ＭＳ Ｐゴシック"/>
      <family val="3"/>
    </font>
    <font>
      <u val="single"/>
      <sz val="11.45"/>
      <color indexed="36"/>
      <name val="ＭＳ Ｐゴシック"/>
      <family val="3"/>
    </font>
    <font>
      <sz val="11"/>
      <name val="Meiryo UI"/>
      <family val="3"/>
    </font>
    <font>
      <sz val="14"/>
      <name val="Meiryo UI"/>
      <family val="3"/>
    </font>
    <font>
      <sz val="11"/>
      <color indexed="10"/>
      <name val="Meiryo UI"/>
      <family val="3"/>
    </font>
    <font>
      <sz val="8"/>
      <name val="Meiryo UI"/>
      <family val="3"/>
    </font>
    <font>
      <sz val="10"/>
      <name val="Meiryo UI"/>
      <family val="3"/>
    </font>
    <font>
      <sz val="12"/>
      <name val="Meiryo UI"/>
      <family val="3"/>
    </font>
    <font>
      <sz val="9"/>
      <name val="Meiryo UI"/>
      <family val="3"/>
    </font>
    <font>
      <sz val="11"/>
      <color indexed="9"/>
      <name val="Meiryo UI"/>
      <family val="3"/>
    </font>
    <font>
      <b/>
      <sz val="11"/>
      <color indexed="10"/>
      <name val="Meiryo UI"/>
      <family val="3"/>
    </font>
    <font>
      <u val="single"/>
      <sz val="11"/>
      <color indexed="12"/>
      <name val="Meiryo UI"/>
      <family val="3"/>
    </font>
    <font>
      <b/>
      <sz val="14"/>
      <name val="Meiryo UI"/>
      <family val="3"/>
    </font>
    <font>
      <b/>
      <sz val="11"/>
      <name val="Meiryo UI"/>
      <family val="3"/>
    </font>
    <font>
      <b/>
      <sz val="12"/>
      <name val="Meiryo UI"/>
      <family val="3"/>
    </font>
    <font>
      <sz val="9"/>
      <color indexed="10"/>
      <name val="Meiryo UI"/>
      <family val="3"/>
    </font>
    <font>
      <b/>
      <sz val="9"/>
      <name val="Meiryo UI"/>
      <family val="3"/>
    </font>
    <font>
      <u val="double"/>
      <sz val="11"/>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Meiryo UI"/>
      <family val="3"/>
    </font>
    <font>
      <b/>
      <sz val="10"/>
      <color rgb="FFFF000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43"/>
        <bgColor indexed="64"/>
      </patternFill>
    </fill>
    <fill>
      <patternFill patternType="solid">
        <fgColor rgb="FFFFFF99"/>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style="thin"/>
      <top>
        <color indexed="63"/>
      </top>
      <bottom style="thin"/>
    </border>
    <border>
      <left style="thin"/>
      <right style="thin"/>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style="hair"/>
      <top style="thin"/>
      <bottom style="thin"/>
    </border>
    <border>
      <left style="medium"/>
      <right style="hair"/>
      <top style="thin"/>
      <bottom style="medium"/>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thin"/>
      <right>
        <color indexed="63"/>
      </right>
      <top>
        <color indexed="63"/>
      </top>
      <bottom>
        <color indexed="63"/>
      </bottom>
    </border>
    <border>
      <left style="double"/>
      <right style="thin"/>
      <top style="thin"/>
      <bottom style="thin"/>
    </border>
    <border>
      <left style="medium"/>
      <right style="hair"/>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style="thin"/>
      <bottom style="thin"/>
    </border>
    <border>
      <left>
        <color indexed="63"/>
      </left>
      <right style="double"/>
      <top style="thin"/>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style="thin"/>
      <top style="thin"/>
      <bottom>
        <color indexed="63"/>
      </bottom>
    </border>
    <border>
      <left style="double"/>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color indexed="63"/>
      </right>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26">
    <xf numFmtId="0" fontId="0" fillId="0" borderId="0" xfId="0" applyAlignment="1">
      <alignment/>
    </xf>
    <xf numFmtId="0" fontId="4" fillId="0" borderId="0" xfId="0" applyFont="1" applyFill="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left" vertical="center"/>
      <protection hidden="1"/>
    </xf>
    <xf numFmtId="181" fontId="4" fillId="0" borderId="0" xfId="0" applyNumberFormat="1" applyFont="1" applyBorder="1" applyAlignment="1" applyProtection="1">
      <alignment horizontal="right" vertical="center"/>
      <protection hidden="1"/>
    </xf>
    <xf numFmtId="0" fontId="4" fillId="0" borderId="0" xfId="0" applyFont="1" applyAlignment="1" applyProtection="1">
      <alignment/>
      <protection hidden="1"/>
    </xf>
    <xf numFmtId="184" fontId="4" fillId="0" borderId="0" xfId="0" applyNumberFormat="1" applyFont="1" applyAlignment="1" applyProtection="1">
      <alignment/>
      <protection hidden="1"/>
    </xf>
    <xf numFmtId="184" fontId="4" fillId="0" borderId="0" xfId="0" applyNumberFormat="1" applyFont="1" applyAlignment="1" applyProtection="1">
      <alignment vertical="center"/>
      <protection hidden="1"/>
    </xf>
    <xf numFmtId="0" fontId="7" fillId="0" borderId="0" xfId="0" applyFont="1" applyFill="1" applyAlignment="1" applyProtection="1">
      <alignment vertical="center"/>
      <protection hidden="1"/>
    </xf>
    <xf numFmtId="38" fontId="4" fillId="0" borderId="0" xfId="0" applyNumberFormat="1" applyFont="1" applyAlignment="1" applyProtection="1">
      <alignment vertical="center"/>
      <protection hidden="1"/>
    </xf>
    <xf numFmtId="0" fontId="4" fillId="0" borderId="0" xfId="0" applyFont="1" applyBorder="1" applyAlignment="1" applyProtection="1">
      <alignment horizontal="left" vertical="center" indent="1"/>
      <protection hidden="1"/>
    </xf>
    <xf numFmtId="38" fontId="4" fillId="0" borderId="0" xfId="49" applyFont="1" applyAlignment="1" applyProtection="1">
      <alignment vertical="center"/>
      <protection hidden="1"/>
    </xf>
    <xf numFmtId="0" fontId="4" fillId="0" borderId="0" xfId="0" applyFont="1" applyBorder="1" applyAlignment="1" applyProtection="1">
      <alignment vertical="center" shrinkToFit="1"/>
      <protection hidden="1"/>
    </xf>
    <xf numFmtId="0" fontId="8" fillId="0" borderId="0" xfId="0" applyFont="1" applyBorder="1" applyAlignment="1" applyProtection="1">
      <alignment vertical="top" wrapText="1"/>
      <protection hidden="1"/>
    </xf>
    <xf numFmtId="49" fontId="4" fillId="0" borderId="0" xfId="0" applyNumberFormat="1" applyFont="1" applyBorder="1" applyAlignment="1" applyProtection="1">
      <alignment vertical="center"/>
      <protection hidden="1"/>
    </xf>
    <xf numFmtId="184" fontId="9" fillId="0" borderId="0" xfId="0" applyNumberFormat="1" applyFont="1" applyBorder="1" applyAlignment="1" applyProtection="1">
      <alignment horizontal="right" vertical="center"/>
      <protection hidden="1"/>
    </xf>
    <xf numFmtId="185" fontId="9" fillId="0" borderId="0" xfId="0" applyNumberFormat="1" applyFont="1" applyFill="1" applyBorder="1" applyAlignment="1" applyProtection="1">
      <alignment vertical="center"/>
      <protection hidden="1"/>
    </xf>
    <xf numFmtId="0" fontId="4" fillId="0" borderId="10" xfId="0" applyFont="1" applyBorder="1" applyAlignment="1" applyProtection="1">
      <alignment horizontal="center" shrinkToFit="1"/>
      <protection hidden="1"/>
    </xf>
    <xf numFmtId="0" fontId="4" fillId="0" borderId="11" xfId="0" applyFont="1" applyBorder="1" applyAlignment="1" applyProtection="1">
      <alignment horizontal="center" shrinkToFit="1"/>
      <protection hidden="1"/>
    </xf>
    <xf numFmtId="0" fontId="10" fillId="0" borderId="12" xfId="0" applyFont="1" applyBorder="1" applyAlignment="1" applyProtection="1">
      <alignment horizontal="center" vertical="top" shrinkToFit="1"/>
      <protection hidden="1"/>
    </xf>
    <xf numFmtId="0" fontId="10" fillId="0" borderId="13" xfId="0" applyFont="1" applyBorder="1" applyAlignment="1" applyProtection="1">
      <alignment horizontal="center" vertical="top" shrinkToFit="1"/>
      <protection hidden="1"/>
    </xf>
    <xf numFmtId="0" fontId="10" fillId="0" borderId="14" xfId="0" applyFont="1" applyBorder="1" applyAlignment="1" applyProtection="1">
      <alignment horizontal="center" vertical="top" wrapText="1" shrinkToFit="1"/>
      <protection hidden="1"/>
    </xf>
    <xf numFmtId="184" fontId="4" fillId="0" borderId="15" xfId="0" applyNumberFormat="1" applyFont="1" applyBorder="1" applyAlignment="1" applyProtection="1">
      <alignment vertical="center"/>
      <protection hidden="1"/>
    </xf>
    <xf numFmtId="0" fontId="5"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right" vertical="top" wrapText="1"/>
      <protection hidden="1"/>
    </xf>
    <xf numFmtId="0" fontId="12" fillId="0" borderId="0" xfId="0" applyFont="1" applyBorder="1" applyAlignment="1" applyProtection="1">
      <alignment vertical="center"/>
      <protection hidden="1"/>
    </xf>
    <xf numFmtId="0" fontId="12" fillId="0" borderId="0" xfId="0" applyFont="1" applyAlignment="1" applyProtection="1">
      <alignment vertical="center"/>
      <protection hidden="1"/>
    </xf>
    <xf numFmtId="190" fontId="9" fillId="0" borderId="16" xfId="0" applyNumberFormat="1" applyFont="1" applyBorder="1" applyAlignment="1" applyProtection="1">
      <alignment vertical="center" shrinkToFit="1"/>
      <protection hidden="1"/>
    </xf>
    <xf numFmtId="0" fontId="12" fillId="0" borderId="0" xfId="0" applyFont="1" applyFill="1" applyAlignment="1" applyProtection="1">
      <alignment vertical="center"/>
      <protection hidden="1"/>
    </xf>
    <xf numFmtId="0" fontId="4" fillId="0" borderId="0" xfId="0" applyFont="1" applyAlignment="1" applyProtection="1">
      <alignment horizontal="left" vertical="center" indent="1"/>
      <protection hidden="1"/>
    </xf>
    <xf numFmtId="0" fontId="4" fillId="0" borderId="0" xfId="0" applyFont="1" applyAlignment="1">
      <alignment/>
    </xf>
    <xf numFmtId="0" fontId="13" fillId="0" borderId="0" xfId="43" applyFont="1" applyBorder="1" applyAlignment="1" applyProtection="1">
      <alignment vertical="center"/>
      <protection hidden="1"/>
    </xf>
    <xf numFmtId="0" fontId="8" fillId="0" borderId="0" xfId="0" applyFont="1" applyBorder="1" applyAlignment="1" applyProtection="1">
      <alignment horizontal="right" vertical="top" wrapText="1"/>
      <protection hidden="1"/>
    </xf>
    <xf numFmtId="0" fontId="12" fillId="0" borderId="0" xfId="0" applyFont="1" applyBorder="1" applyAlignment="1" applyProtection="1">
      <alignment/>
      <protection hidden="1"/>
    </xf>
    <xf numFmtId="0" fontId="4" fillId="0" borderId="0" xfId="0" applyFont="1" applyBorder="1" applyAlignment="1" applyProtection="1">
      <alignment/>
      <protection hidden="1"/>
    </xf>
    <xf numFmtId="0" fontId="8" fillId="0" borderId="0" xfId="0" applyFont="1" applyAlignment="1" applyProtection="1">
      <alignment vertical="top" wrapText="1"/>
      <protection hidden="1"/>
    </xf>
    <xf numFmtId="0" fontId="4" fillId="0" borderId="15" xfId="0" applyFont="1" applyBorder="1" applyAlignment="1" applyProtection="1">
      <alignment vertical="center"/>
      <protection hidden="1"/>
    </xf>
    <xf numFmtId="38" fontId="4" fillId="0" borderId="15" xfId="49" applyFont="1" applyFill="1" applyBorder="1" applyAlignment="1" applyProtection="1">
      <alignment vertical="center"/>
      <protection hidden="1"/>
    </xf>
    <xf numFmtId="0" fontId="4" fillId="0" borderId="15" xfId="0" applyFont="1" applyBorder="1" applyAlignment="1">
      <alignment horizontal="center" vertical="center"/>
    </xf>
    <xf numFmtId="0" fontId="4" fillId="0" borderId="0" xfId="0" applyFont="1" applyAlignment="1">
      <alignment horizontal="center" vertical="center"/>
    </xf>
    <xf numFmtId="218" fontId="4" fillId="0" borderId="0" xfId="0" applyNumberFormat="1" applyFont="1" applyAlignment="1">
      <alignment horizontal="center"/>
    </xf>
    <xf numFmtId="0" fontId="4" fillId="0" borderId="0" xfId="0" applyFont="1" applyAlignment="1">
      <alignment horizontal="center"/>
    </xf>
    <xf numFmtId="0" fontId="4" fillId="0" borderId="15" xfId="0" applyFont="1" applyBorder="1" applyAlignment="1">
      <alignment vertical="center"/>
    </xf>
    <xf numFmtId="10" fontId="6" fillId="0" borderId="15" xfId="42" applyNumberFormat="1" applyFont="1" applyBorder="1" applyAlignment="1">
      <alignment vertical="center"/>
    </xf>
    <xf numFmtId="189" fontId="6" fillId="0" borderId="15" xfId="49" applyNumberFormat="1"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6" fillId="0" borderId="0" xfId="0" applyFont="1" applyBorder="1" applyAlignment="1">
      <alignment horizontal="center" vertical="center"/>
    </xf>
    <xf numFmtId="184" fontId="6" fillId="0" borderId="15" xfId="0" applyNumberFormat="1" applyFont="1" applyBorder="1" applyAlignment="1">
      <alignment horizontal="right" vertical="center"/>
    </xf>
    <xf numFmtId="196" fontId="4" fillId="0" borderId="0" xfId="0" applyNumberFormat="1" applyFont="1" applyBorder="1" applyAlignment="1">
      <alignment/>
    </xf>
    <xf numFmtId="38" fontId="4" fillId="0" borderId="15" xfId="0" applyNumberFormat="1" applyFont="1" applyBorder="1" applyAlignment="1" applyProtection="1">
      <alignment vertical="center"/>
      <protection hidden="1"/>
    </xf>
    <xf numFmtId="0" fontId="4" fillId="0" borderId="15" xfId="0" applyFont="1" applyBorder="1" applyAlignment="1" applyProtection="1">
      <alignment/>
      <protection hidden="1"/>
    </xf>
    <xf numFmtId="38" fontId="4" fillId="0" borderId="15" xfId="49" applyFont="1" applyFill="1" applyBorder="1" applyAlignment="1" applyProtection="1">
      <alignment/>
      <protection hidden="1"/>
    </xf>
    <xf numFmtId="184" fontId="4" fillId="0" borderId="15" xfId="0" applyNumberFormat="1" applyFont="1" applyFill="1" applyBorder="1" applyAlignment="1" applyProtection="1">
      <alignment/>
      <protection hidden="1"/>
    </xf>
    <xf numFmtId="184" fontId="4" fillId="0" borderId="15" xfId="0" applyNumberFormat="1" applyFont="1" applyBorder="1" applyAlignment="1" applyProtection="1">
      <alignment/>
      <protection hidden="1"/>
    </xf>
    <xf numFmtId="184" fontId="4" fillId="0" borderId="15" xfId="0" applyNumberFormat="1" applyFont="1" applyFill="1" applyBorder="1" applyAlignment="1" applyProtection="1">
      <alignment vertical="center"/>
      <protection hidden="1"/>
    </xf>
    <xf numFmtId="0" fontId="4" fillId="0" borderId="15" xfId="0" applyFont="1" applyBorder="1" applyAlignment="1" applyProtection="1">
      <alignment horizontal="right" vertical="center"/>
      <protection hidden="1"/>
    </xf>
    <xf numFmtId="184" fontId="4" fillId="0" borderId="0" xfId="0" applyNumberFormat="1" applyFont="1" applyBorder="1" applyAlignment="1" applyProtection="1">
      <alignment vertical="center"/>
      <protection hidden="1"/>
    </xf>
    <xf numFmtId="181" fontId="4" fillId="0" borderId="0" xfId="0" applyNumberFormat="1" applyFont="1" applyBorder="1" applyAlignment="1" applyProtection="1">
      <alignment horizontal="left" vertical="center"/>
      <protection hidden="1"/>
    </xf>
    <xf numFmtId="0" fontId="4" fillId="33" borderId="0" xfId="0" applyFont="1" applyFill="1" applyAlignment="1" applyProtection="1">
      <alignment vertical="center"/>
      <protection hidden="1"/>
    </xf>
    <xf numFmtId="184" fontId="4" fillId="33" borderId="0" xfId="0" applyNumberFormat="1" applyFont="1" applyFill="1" applyAlignment="1" applyProtection="1">
      <alignment vertical="center"/>
      <protection hidden="1"/>
    </xf>
    <xf numFmtId="38" fontId="4" fillId="33" borderId="0" xfId="49" applyFont="1" applyFill="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4" fillId="0" borderId="17" xfId="0" applyFont="1" applyBorder="1" applyAlignment="1" applyProtection="1">
      <alignment horizontal="center" shrinkToFit="1"/>
      <protection hidden="1"/>
    </xf>
    <xf numFmtId="0" fontId="10" fillId="0" borderId="18" xfId="0" applyFont="1" applyBorder="1" applyAlignment="1" applyProtection="1">
      <alignment horizontal="center" vertical="top" shrinkToFit="1"/>
      <protection hidden="1"/>
    </xf>
    <xf numFmtId="0" fontId="4" fillId="0" borderId="15" xfId="0" applyFont="1" applyBorder="1" applyAlignment="1" applyProtection="1">
      <alignment horizontal="center" vertical="center"/>
      <protection hidden="1"/>
    </xf>
    <xf numFmtId="0" fontId="4" fillId="0" borderId="15"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9" xfId="0" applyFont="1" applyBorder="1" applyAlignment="1" applyProtection="1">
      <alignment vertical="center"/>
      <protection hidden="1"/>
    </xf>
    <xf numFmtId="0" fontId="4" fillId="0" borderId="20" xfId="0" applyFont="1" applyBorder="1" applyAlignment="1" applyProtection="1">
      <alignment vertical="top" wrapText="1"/>
      <protection hidden="1"/>
    </xf>
    <xf numFmtId="0" fontId="4" fillId="0" borderId="18" xfId="0" applyFont="1" applyBorder="1" applyAlignment="1" applyProtection="1">
      <alignment vertical="top" wrapText="1"/>
      <protection hidden="1"/>
    </xf>
    <xf numFmtId="0" fontId="4" fillId="0" borderId="18" xfId="0" applyFont="1" applyBorder="1" applyAlignment="1" applyProtection="1">
      <alignment horizontal="right" vertical="top" wrapText="1"/>
      <protection hidden="1"/>
    </xf>
    <xf numFmtId="0" fontId="4" fillId="0" borderId="13" xfId="0" applyFont="1" applyBorder="1" applyAlignment="1" applyProtection="1">
      <alignment vertical="center"/>
      <protection hidden="1"/>
    </xf>
    <xf numFmtId="0" fontId="4" fillId="0" borderId="2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shrinkToFit="1"/>
      <protection hidden="1"/>
    </xf>
    <xf numFmtId="0" fontId="4" fillId="0" borderId="15" xfId="0" applyFont="1" applyBorder="1" applyAlignment="1" applyProtection="1">
      <alignment horizontal="center" vertical="center" shrinkToFit="1"/>
      <protection hidden="1"/>
    </xf>
    <xf numFmtId="181" fontId="15" fillId="0" borderId="0" xfId="0" applyNumberFormat="1" applyFont="1" applyBorder="1" applyAlignment="1" applyProtection="1">
      <alignment vertical="center"/>
      <protection hidden="1"/>
    </xf>
    <xf numFmtId="185" fontId="4" fillId="0" borderId="15" xfId="0" applyNumberFormat="1" applyFont="1" applyBorder="1" applyAlignment="1" applyProtection="1">
      <alignment horizontal="right" vertical="center" shrinkToFit="1"/>
      <protection hidden="1"/>
    </xf>
    <xf numFmtId="10" fontId="4" fillId="0" borderId="15" xfId="0" applyNumberFormat="1" applyFont="1" applyBorder="1" applyAlignment="1" applyProtection="1">
      <alignment horizontal="center" vertical="center" shrinkToFit="1"/>
      <protection hidden="1"/>
    </xf>
    <xf numFmtId="184" fontId="4" fillId="0" borderId="15" xfId="0" applyNumberFormat="1" applyFont="1" applyBorder="1" applyAlignment="1" applyProtection="1">
      <alignment vertical="center" shrinkToFit="1"/>
      <protection hidden="1"/>
    </xf>
    <xf numFmtId="187" fontId="4" fillId="0" borderId="15" xfId="0" applyNumberFormat="1" applyFont="1" applyBorder="1" applyAlignment="1" applyProtection="1">
      <alignment horizontal="center" vertical="center" shrinkToFit="1"/>
      <protection hidden="1"/>
    </xf>
    <xf numFmtId="49" fontId="15" fillId="0" borderId="0" xfId="0" applyNumberFormat="1" applyFont="1" applyBorder="1" applyAlignment="1" applyProtection="1">
      <alignment horizontal="center" vertical="center"/>
      <protection hidden="1"/>
    </xf>
    <xf numFmtId="190" fontId="16" fillId="0" borderId="16" xfId="0" applyNumberFormat="1" applyFont="1" applyBorder="1" applyAlignment="1" applyProtection="1">
      <alignment horizontal="right" vertical="center" wrapText="1"/>
      <protection hidden="1"/>
    </xf>
    <xf numFmtId="190" fontId="16" fillId="0" borderId="16" xfId="0" applyNumberFormat="1" applyFont="1" applyBorder="1" applyAlignment="1" applyProtection="1">
      <alignment vertical="center" shrinkToFit="1"/>
      <protection hidden="1"/>
    </xf>
    <xf numFmtId="0" fontId="4" fillId="34" borderId="22" xfId="0" applyFont="1" applyFill="1" applyBorder="1" applyAlignment="1" applyProtection="1">
      <alignment horizontal="center" vertical="center" shrinkToFit="1"/>
      <protection hidden="1"/>
    </xf>
    <xf numFmtId="0" fontId="4" fillId="34" borderId="23" xfId="0" applyFont="1" applyFill="1" applyBorder="1" applyAlignment="1" applyProtection="1">
      <alignment horizontal="center" vertical="center" shrinkToFit="1"/>
      <protection hidden="1"/>
    </xf>
    <xf numFmtId="185" fontId="4" fillId="0" borderId="24" xfId="49" applyNumberFormat="1" applyFont="1" applyBorder="1" applyAlignment="1" applyProtection="1">
      <alignment vertical="center" shrinkToFit="1"/>
      <protection hidden="1"/>
    </xf>
    <xf numFmtId="0" fontId="4" fillId="34" borderId="25" xfId="0" applyFont="1" applyFill="1" applyBorder="1" applyAlignment="1" applyProtection="1">
      <alignment horizontal="center" vertical="center" shrinkToFit="1"/>
      <protection hidden="1"/>
    </xf>
    <xf numFmtId="185" fontId="4" fillId="34" borderId="26" xfId="49" applyNumberFormat="1" applyFont="1" applyFill="1" applyBorder="1" applyAlignment="1" applyProtection="1">
      <alignment horizontal="right" vertical="center" shrinkToFit="1"/>
      <protection hidden="1" locked="0"/>
    </xf>
    <xf numFmtId="185" fontId="4" fillId="0" borderId="24" xfId="49" applyNumberFormat="1" applyFont="1" applyBorder="1" applyAlignment="1" applyProtection="1">
      <alignment horizontal="right" vertical="center" shrinkToFit="1"/>
      <protection hidden="1"/>
    </xf>
    <xf numFmtId="0" fontId="4" fillId="35" borderId="25" xfId="0" applyFont="1" applyFill="1" applyBorder="1" applyAlignment="1" applyProtection="1">
      <alignment horizontal="center" vertical="center" shrinkToFit="1"/>
      <protection hidden="1"/>
    </xf>
    <xf numFmtId="189" fontId="4" fillId="34" borderId="26" xfId="0" applyNumberFormat="1" applyFont="1" applyFill="1" applyBorder="1" applyAlignment="1" applyProtection="1">
      <alignment vertical="center" shrinkToFit="1"/>
      <protection hidden="1" locked="0"/>
    </xf>
    <xf numFmtId="189" fontId="4" fillId="34" borderId="26" xfId="0" applyNumberFormat="1" applyFont="1" applyFill="1" applyBorder="1" applyAlignment="1" applyProtection="1">
      <alignment horizontal="right" vertical="center" shrinkToFit="1"/>
      <protection hidden="1" locked="0"/>
    </xf>
    <xf numFmtId="189" fontId="4" fillId="34" borderId="27" xfId="0" applyNumberFormat="1" applyFont="1" applyFill="1" applyBorder="1" applyAlignment="1" applyProtection="1">
      <alignment horizontal="right" vertical="center" shrinkToFit="1"/>
      <protection hidden="1" locked="0"/>
    </xf>
    <xf numFmtId="0" fontId="4" fillId="34" borderId="16" xfId="0" applyFont="1" applyFill="1" applyBorder="1" applyAlignment="1" applyProtection="1">
      <alignment horizontal="center" vertical="center" wrapText="1"/>
      <protection hidden="1" locked="0"/>
    </xf>
    <xf numFmtId="185" fontId="4" fillId="34" borderId="26" xfId="49" applyNumberFormat="1" applyFont="1" applyFill="1" applyBorder="1" applyAlignment="1" applyProtection="1">
      <alignment vertical="center" shrinkToFit="1"/>
      <protection hidden="1" locked="0"/>
    </xf>
    <xf numFmtId="0" fontId="4" fillId="34" borderId="24" xfId="0" applyFont="1" applyFill="1" applyBorder="1" applyAlignment="1" applyProtection="1">
      <alignment horizontal="center" vertical="center" shrinkToFit="1"/>
      <protection hidden="1" locked="0"/>
    </xf>
    <xf numFmtId="0" fontId="4" fillId="34" borderId="28" xfId="0" applyFont="1" applyFill="1" applyBorder="1" applyAlignment="1" applyProtection="1">
      <alignment horizontal="center" vertical="center" shrinkToFit="1"/>
      <protection hidden="1" locked="0"/>
    </xf>
    <xf numFmtId="185" fontId="4" fillId="0" borderId="28" xfId="49" applyNumberFormat="1" applyFont="1" applyBorder="1" applyAlignment="1" applyProtection="1">
      <alignment vertical="center" shrinkToFit="1"/>
      <protection hidden="1"/>
    </xf>
    <xf numFmtId="185" fontId="4" fillId="0" borderId="28" xfId="49" applyNumberFormat="1" applyFont="1" applyBorder="1" applyAlignment="1" applyProtection="1">
      <alignment horizontal="right" vertical="center" shrinkToFit="1"/>
      <protection hidden="1"/>
    </xf>
    <xf numFmtId="185" fontId="4" fillId="34" borderId="26" xfId="0" applyNumberFormat="1" applyFont="1" applyFill="1" applyBorder="1" applyAlignment="1" applyProtection="1">
      <alignment vertical="center" shrinkToFit="1"/>
      <protection hidden="1" locked="0"/>
    </xf>
    <xf numFmtId="185" fontId="4" fillId="34" borderId="27" xfId="0" applyNumberFormat="1" applyFont="1" applyFill="1" applyBorder="1" applyAlignment="1" applyProtection="1">
      <alignment vertical="center" shrinkToFit="1"/>
      <protection hidden="1" locked="0"/>
    </xf>
    <xf numFmtId="185" fontId="4" fillId="34" borderId="27" xfId="49" applyNumberFormat="1" applyFont="1" applyFill="1" applyBorder="1" applyAlignment="1" applyProtection="1">
      <alignment vertical="center" shrinkToFit="1"/>
      <protection hidden="1" locked="0"/>
    </xf>
    <xf numFmtId="0" fontId="55" fillId="0" borderId="0" xfId="0" applyFont="1" applyAlignment="1" applyProtection="1">
      <alignment vertical="center"/>
      <protection hidden="1"/>
    </xf>
    <xf numFmtId="0" fontId="4" fillId="0" borderId="17" xfId="0" applyFont="1" applyBorder="1" applyAlignment="1">
      <alignment/>
    </xf>
    <xf numFmtId="0" fontId="4" fillId="0" borderId="11" xfId="0" applyFont="1" applyBorder="1" applyAlignment="1">
      <alignment/>
    </xf>
    <xf numFmtId="0" fontId="4" fillId="0" borderId="20"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29" xfId="0" applyFont="1" applyBorder="1" applyAlignment="1" applyProtection="1">
      <alignment horizontal="right" vertical="center" wrapText="1"/>
      <protection hidden="1"/>
    </xf>
    <xf numFmtId="0" fontId="4" fillId="0" borderId="0" xfId="0" applyFont="1" applyBorder="1" applyAlignment="1" applyProtection="1">
      <alignment shrinkToFit="1"/>
      <protection hidden="1"/>
    </xf>
    <xf numFmtId="217" fontId="4" fillId="0" borderId="19" xfId="0" applyNumberFormat="1" applyFont="1" applyBorder="1" applyAlignment="1" applyProtection="1">
      <alignment horizontal="center" vertical="center"/>
      <protection hidden="1"/>
    </xf>
    <xf numFmtId="49" fontId="18" fillId="0" borderId="0" xfId="0" applyNumberFormat="1" applyFont="1" applyBorder="1" applyAlignment="1" applyProtection="1">
      <alignment horizontal="center" vertical="center"/>
      <protection hidden="1"/>
    </xf>
    <xf numFmtId="184" fontId="4" fillId="36" borderId="15" xfId="0" applyNumberFormat="1" applyFont="1" applyFill="1" applyBorder="1" applyAlignment="1" applyProtection="1">
      <alignment vertical="center" shrinkToFit="1"/>
      <protection hidden="1"/>
    </xf>
    <xf numFmtId="184" fontId="4" fillId="36" borderId="30" xfId="0" applyNumberFormat="1" applyFont="1" applyFill="1" applyBorder="1" applyAlignment="1" applyProtection="1">
      <alignment vertical="center"/>
      <protection hidden="1"/>
    </xf>
    <xf numFmtId="0" fontId="4" fillId="0" borderId="29" xfId="0" applyFont="1" applyBorder="1" applyAlignment="1">
      <alignment horizontal="center" vertical="center"/>
    </xf>
    <xf numFmtId="0" fontId="4" fillId="0" borderId="0" xfId="0" applyFont="1" applyBorder="1" applyAlignment="1">
      <alignment horizontal="center" vertical="center"/>
    </xf>
    <xf numFmtId="189" fontId="6" fillId="0" borderId="29" xfId="49" applyNumberFormat="1" applyFont="1" applyBorder="1" applyAlignment="1">
      <alignment vertical="center"/>
    </xf>
    <xf numFmtId="189" fontId="6" fillId="0" borderId="0" xfId="49" applyNumberFormat="1" applyFont="1" applyBorder="1" applyAlignment="1">
      <alignment vertical="center"/>
    </xf>
    <xf numFmtId="0" fontId="4" fillId="34" borderId="31" xfId="0" applyFont="1" applyFill="1" applyBorder="1" applyAlignment="1" applyProtection="1">
      <alignment horizontal="center" vertical="center" shrinkToFit="1"/>
      <protection hidden="1"/>
    </xf>
    <xf numFmtId="0" fontId="4" fillId="34" borderId="32" xfId="0" applyFont="1" applyFill="1" applyBorder="1" applyAlignment="1" applyProtection="1">
      <alignment horizontal="center" vertical="center" shrinkToFit="1"/>
      <protection hidden="1" locked="0"/>
    </xf>
    <xf numFmtId="185" fontId="4" fillId="34" borderId="33" xfId="0" applyNumberFormat="1" applyFont="1" applyFill="1" applyBorder="1" applyAlignment="1" applyProtection="1">
      <alignment vertical="center" shrinkToFit="1"/>
      <protection hidden="1" locked="0"/>
    </xf>
    <xf numFmtId="185" fontId="4" fillId="34" borderId="33" xfId="49" applyNumberFormat="1" applyFont="1" applyFill="1" applyBorder="1" applyAlignment="1" applyProtection="1">
      <alignment vertical="center" shrinkToFit="1"/>
      <protection hidden="1" locked="0"/>
    </xf>
    <xf numFmtId="185" fontId="4" fillId="0" borderId="32" xfId="49" applyNumberFormat="1" applyFont="1" applyBorder="1" applyAlignment="1" applyProtection="1">
      <alignment vertical="center" shrinkToFit="1"/>
      <protection hidden="1"/>
    </xf>
    <xf numFmtId="185" fontId="4" fillId="34" borderId="33" xfId="49" applyNumberFormat="1" applyFont="1" applyFill="1" applyBorder="1" applyAlignment="1" applyProtection="1">
      <alignment horizontal="right" vertical="center" shrinkToFit="1"/>
      <protection hidden="1" locked="0"/>
    </xf>
    <xf numFmtId="185" fontId="4" fillId="0" borderId="32" xfId="49" applyNumberFormat="1" applyFont="1" applyBorder="1" applyAlignment="1" applyProtection="1">
      <alignment horizontal="right" vertical="center" shrinkToFit="1"/>
      <protection hidden="1"/>
    </xf>
    <xf numFmtId="189" fontId="4" fillId="34" borderId="33" xfId="0" applyNumberFormat="1" applyFont="1" applyFill="1" applyBorder="1" applyAlignment="1" applyProtection="1">
      <alignment horizontal="right" vertical="center" shrinkToFit="1"/>
      <protection hidden="1" locked="0"/>
    </xf>
    <xf numFmtId="221" fontId="6" fillId="0" borderId="15" xfId="0" applyNumberFormat="1" applyFont="1" applyBorder="1" applyAlignment="1">
      <alignment horizontal="center" vertical="center"/>
    </xf>
    <xf numFmtId="224" fontId="14" fillId="0" borderId="0" xfId="0" applyNumberFormat="1" applyFont="1" applyBorder="1" applyAlignment="1">
      <alignment horizontal="center" vertical="center"/>
    </xf>
    <xf numFmtId="38" fontId="4" fillId="0" borderId="0" xfId="49" applyFont="1" applyBorder="1" applyAlignment="1" applyProtection="1">
      <alignment vertical="center"/>
      <protection hidden="1"/>
    </xf>
    <xf numFmtId="184" fontId="4" fillId="0" borderId="0" xfId="0" applyNumberFormat="1" applyFont="1" applyFill="1" applyAlignment="1" applyProtection="1">
      <alignment vertical="center"/>
      <protection hidden="1"/>
    </xf>
    <xf numFmtId="38" fontId="4" fillId="13" borderId="0" xfId="49" applyFont="1" applyFill="1" applyAlignment="1" applyProtection="1">
      <alignment vertical="center"/>
      <protection hidden="1"/>
    </xf>
    <xf numFmtId="184" fontId="4" fillId="13" borderId="0" xfId="0" applyNumberFormat="1" applyFont="1" applyFill="1" applyAlignment="1" applyProtection="1">
      <alignment vertical="center"/>
      <protection hidden="1"/>
    </xf>
    <xf numFmtId="0" fontId="4" fillId="13" borderId="0" xfId="0" applyFont="1" applyFill="1" applyAlignment="1" applyProtection="1">
      <alignment vertical="center"/>
      <protection hidden="1"/>
    </xf>
    <xf numFmtId="38" fontId="4" fillId="13" borderId="0" xfId="0" applyNumberFormat="1" applyFont="1" applyFill="1" applyAlignment="1" applyProtection="1">
      <alignment vertical="center"/>
      <protection hidden="1"/>
    </xf>
    <xf numFmtId="38" fontId="4" fillId="33" borderId="0" xfId="0" applyNumberFormat="1" applyFont="1" applyFill="1" applyAlignment="1" applyProtection="1">
      <alignment vertical="center"/>
      <protection hidden="1"/>
    </xf>
    <xf numFmtId="184" fontId="4" fillId="33" borderId="0" xfId="0" applyNumberFormat="1" applyFont="1" applyFill="1" applyBorder="1" applyAlignment="1" applyProtection="1">
      <alignment vertical="center"/>
      <protection hidden="1"/>
    </xf>
    <xf numFmtId="184" fontId="4" fillId="33" borderId="18" xfId="0" applyNumberFormat="1" applyFont="1" applyFill="1" applyBorder="1" applyAlignment="1" applyProtection="1">
      <alignment vertical="center"/>
      <protection hidden="1"/>
    </xf>
    <xf numFmtId="38" fontId="4" fillId="33" borderId="29" xfId="49" applyFont="1" applyFill="1" applyBorder="1" applyAlignment="1" applyProtection="1">
      <alignment vertical="center"/>
      <protection hidden="1"/>
    </xf>
    <xf numFmtId="38" fontId="4" fillId="33" borderId="20" xfId="49" applyFont="1" applyFill="1" applyBorder="1" applyAlignment="1" applyProtection="1">
      <alignment vertical="center"/>
      <protection hidden="1"/>
    </xf>
    <xf numFmtId="0" fontId="4" fillId="37" borderId="0" xfId="0" applyFont="1" applyFill="1" applyAlignment="1" applyProtection="1">
      <alignment vertical="center"/>
      <protection hidden="1"/>
    </xf>
    <xf numFmtId="38" fontId="4" fillId="37" borderId="0" xfId="49" applyFont="1" applyFill="1" applyBorder="1" applyAlignment="1" applyProtection="1">
      <alignment vertical="center"/>
      <protection hidden="1"/>
    </xf>
    <xf numFmtId="38" fontId="4" fillId="37" borderId="0" xfId="49" applyFont="1" applyFill="1" applyAlignment="1" applyProtection="1">
      <alignment vertical="center"/>
      <protection hidden="1"/>
    </xf>
    <xf numFmtId="0" fontId="4" fillId="38" borderId="0" xfId="0" applyFont="1" applyFill="1" applyAlignment="1" applyProtection="1">
      <alignment vertical="center"/>
      <protection hidden="1"/>
    </xf>
    <xf numFmtId="38" fontId="4" fillId="38" borderId="0" xfId="49" applyFont="1" applyFill="1" applyBorder="1" applyAlignment="1" applyProtection="1">
      <alignment vertical="center"/>
      <protection hidden="1"/>
    </xf>
    <xf numFmtId="38" fontId="4" fillId="38" borderId="0" xfId="49" applyFont="1" applyFill="1" applyAlignment="1" applyProtection="1">
      <alignment vertical="center"/>
      <protection hidden="1"/>
    </xf>
    <xf numFmtId="184" fontId="4" fillId="38" borderId="0" xfId="0" applyNumberFormat="1" applyFont="1" applyFill="1" applyBorder="1" applyAlignment="1" applyProtection="1">
      <alignment vertical="center"/>
      <protection hidden="1"/>
    </xf>
    <xf numFmtId="0" fontId="4" fillId="39" borderId="0" xfId="0" applyFont="1" applyFill="1" applyAlignment="1" applyProtection="1">
      <alignment vertical="center"/>
      <protection hidden="1"/>
    </xf>
    <xf numFmtId="38" fontId="4" fillId="39" borderId="0" xfId="49" applyFont="1" applyFill="1" applyBorder="1" applyAlignment="1" applyProtection="1">
      <alignment vertical="center"/>
      <protection hidden="1"/>
    </xf>
    <xf numFmtId="38" fontId="4" fillId="39" borderId="0" xfId="49" applyFont="1" applyFill="1" applyAlignment="1" applyProtection="1">
      <alignment vertical="center"/>
      <protection hidden="1"/>
    </xf>
    <xf numFmtId="38" fontId="4" fillId="33" borderId="0" xfId="49" applyFont="1" applyFill="1" applyBorder="1" applyAlignment="1" applyProtection="1">
      <alignment vertical="center"/>
      <protection hidden="1"/>
    </xf>
    <xf numFmtId="184" fontId="4" fillId="0" borderId="15" xfId="0" applyNumberFormat="1" applyFont="1" applyBorder="1" applyAlignment="1" applyProtection="1">
      <alignment horizontal="right" vertical="center" shrinkToFit="1"/>
      <protection hidden="1"/>
    </xf>
    <xf numFmtId="185" fontId="4" fillId="34" borderId="27" xfId="49" applyNumberFormat="1" applyFont="1" applyFill="1" applyBorder="1" applyAlignment="1" applyProtection="1">
      <alignment horizontal="right" vertical="center" shrinkToFit="1"/>
      <protection hidden="1" locked="0"/>
    </xf>
    <xf numFmtId="185" fontId="4" fillId="0" borderId="34" xfId="0" applyNumberFormat="1" applyFont="1" applyBorder="1" applyAlignment="1" applyProtection="1">
      <alignment vertical="center" shrinkToFit="1"/>
      <protection hidden="1"/>
    </xf>
    <xf numFmtId="185" fontId="4" fillId="0" borderId="35" xfId="0" applyNumberFormat="1" applyFont="1" applyBorder="1" applyAlignment="1" applyProtection="1">
      <alignment vertical="center" shrinkToFit="1"/>
      <protection hidden="1"/>
    </xf>
    <xf numFmtId="0" fontId="4" fillId="0" borderId="36" xfId="0" applyFont="1" applyBorder="1" applyAlignment="1" applyProtection="1">
      <alignment horizontal="center" vertical="center" shrinkToFit="1"/>
      <protection hidden="1"/>
    </xf>
    <xf numFmtId="0" fontId="4" fillId="0" borderId="37" xfId="0" applyFont="1" applyBorder="1" applyAlignment="1" applyProtection="1">
      <alignment horizontal="center" vertical="center" shrinkToFit="1"/>
      <protection hidden="1"/>
    </xf>
    <xf numFmtId="182" fontId="4" fillId="0" borderId="15" xfId="0" applyNumberFormat="1" applyFont="1" applyBorder="1" applyAlignment="1" applyProtection="1">
      <alignment vertical="center" wrapText="1"/>
      <protection hidden="1"/>
    </xf>
    <xf numFmtId="185" fontId="4" fillId="0" borderId="38" xfId="0" applyNumberFormat="1" applyFont="1" applyBorder="1" applyAlignment="1" applyProtection="1">
      <alignment vertical="center" shrinkToFit="1"/>
      <protection hidden="1"/>
    </xf>
    <xf numFmtId="0" fontId="56" fillId="0" borderId="29" xfId="0" applyNumberFormat="1" applyFont="1" applyBorder="1" applyAlignment="1" applyProtection="1">
      <alignment horizontal="center" vertical="center" shrinkToFit="1"/>
      <protection hidden="1"/>
    </xf>
    <xf numFmtId="0" fontId="56" fillId="0" borderId="0" xfId="0" applyNumberFormat="1" applyFont="1" applyBorder="1" applyAlignment="1" applyProtection="1">
      <alignment horizontal="center" vertical="center" shrinkToFit="1"/>
      <protection hidden="1"/>
    </xf>
    <xf numFmtId="0" fontId="56" fillId="0" borderId="19" xfId="0" applyNumberFormat="1" applyFont="1" applyBorder="1" applyAlignment="1" applyProtection="1">
      <alignment horizontal="center" vertical="center" shrinkToFit="1"/>
      <protection hidden="1"/>
    </xf>
    <xf numFmtId="187" fontId="4" fillId="0" borderId="34" xfId="0" applyNumberFormat="1" applyFont="1" applyBorder="1" applyAlignment="1" applyProtection="1">
      <alignment horizontal="center" vertical="center" shrinkToFit="1"/>
      <protection hidden="1"/>
    </xf>
    <xf numFmtId="187" fontId="4" fillId="0" borderId="39" xfId="0" applyNumberFormat="1" applyFont="1" applyBorder="1" applyAlignment="1" applyProtection="1">
      <alignment horizontal="center" vertical="center" shrinkToFit="1"/>
      <protection hidden="1"/>
    </xf>
    <xf numFmtId="0" fontId="4" fillId="0" borderId="21" xfId="0" applyFont="1" applyBorder="1" applyAlignment="1" applyProtection="1">
      <alignment horizontal="center" vertical="center" shrinkToFit="1"/>
      <protection hidden="1"/>
    </xf>
    <xf numFmtId="0" fontId="4" fillId="0" borderId="17" xfId="0" applyFont="1" applyBorder="1" applyAlignment="1" applyProtection="1">
      <alignment horizontal="center" vertical="center" shrinkToFit="1"/>
      <protection hidden="1"/>
    </xf>
    <xf numFmtId="0" fontId="4" fillId="0" borderId="40" xfId="0" applyFont="1" applyBorder="1" applyAlignment="1" applyProtection="1">
      <alignment horizontal="center" vertical="center" shrinkToFit="1"/>
      <protection hidden="1"/>
    </xf>
    <xf numFmtId="0" fontId="4" fillId="0" borderId="10" xfId="0" applyFont="1" applyBorder="1" applyAlignment="1" applyProtection="1">
      <alignment horizontal="center" vertical="center" shrinkToFit="1"/>
      <protection hidden="1"/>
    </xf>
    <xf numFmtId="0" fontId="4" fillId="0" borderId="41" xfId="0" applyFont="1" applyBorder="1" applyAlignment="1" applyProtection="1">
      <alignment horizontal="center" vertical="center" shrinkToFit="1"/>
      <protection hidden="1"/>
    </xf>
    <xf numFmtId="0" fontId="4" fillId="0" borderId="12" xfId="0" applyFont="1" applyBorder="1" applyAlignment="1" applyProtection="1">
      <alignment horizontal="center" vertical="center" shrinkToFit="1"/>
      <protection hidden="1"/>
    </xf>
    <xf numFmtId="0" fontId="4" fillId="0" borderId="42" xfId="0" applyFont="1" applyBorder="1" applyAlignment="1" applyProtection="1">
      <alignment horizontal="center" vertical="center" shrinkToFit="1"/>
      <protection hidden="1"/>
    </xf>
    <xf numFmtId="0" fontId="4" fillId="0" borderId="43" xfId="0" applyFont="1" applyBorder="1" applyAlignment="1" applyProtection="1">
      <alignment horizontal="center" vertical="center" shrinkToFit="1"/>
      <protection hidden="1"/>
    </xf>
    <xf numFmtId="185" fontId="4" fillId="0" borderId="15" xfId="0" applyNumberFormat="1" applyFont="1" applyBorder="1" applyAlignment="1" applyProtection="1">
      <alignment horizontal="center" vertical="center" shrinkToFit="1"/>
      <protection hidden="1"/>
    </xf>
    <xf numFmtId="185" fontId="4" fillId="0" borderId="44" xfId="0" applyNumberFormat="1" applyFont="1" applyBorder="1" applyAlignment="1" applyProtection="1">
      <alignment horizontal="center" vertical="center" shrinkToFit="1"/>
      <protection hidden="1"/>
    </xf>
    <xf numFmtId="185" fontId="4" fillId="0" borderId="45" xfId="0" applyNumberFormat="1" applyFont="1" applyBorder="1" applyAlignment="1" applyProtection="1">
      <alignment horizontal="center" vertical="center" shrinkToFit="1"/>
      <protection hidden="1"/>
    </xf>
    <xf numFmtId="185" fontId="4" fillId="0" borderId="46" xfId="0" applyNumberFormat="1" applyFont="1" applyBorder="1" applyAlignment="1" applyProtection="1">
      <alignment horizontal="center" vertical="center" shrinkToFit="1"/>
      <protection hidden="1"/>
    </xf>
    <xf numFmtId="0" fontId="4" fillId="0" borderId="47" xfId="0" applyFont="1" applyBorder="1" applyAlignment="1" applyProtection="1">
      <alignment horizontal="center" vertical="center" wrapText="1" shrinkToFit="1"/>
      <protection hidden="1"/>
    </xf>
    <xf numFmtId="0" fontId="4" fillId="0" borderId="48" xfId="0" applyFont="1" applyBorder="1" applyAlignment="1" applyProtection="1">
      <alignment horizontal="center" vertical="center" wrapText="1" shrinkToFit="1"/>
      <protection hidden="1"/>
    </xf>
    <xf numFmtId="0" fontId="56" fillId="0" borderId="21" xfId="0" applyNumberFormat="1" applyFont="1" applyBorder="1" applyAlignment="1" applyProtection="1">
      <alignment horizontal="center" vertical="center" shrinkToFit="1"/>
      <protection hidden="1"/>
    </xf>
    <xf numFmtId="0" fontId="56" fillId="0" borderId="17" xfId="0" applyNumberFormat="1" applyFont="1" applyBorder="1" applyAlignment="1" applyProtection="1">
      <alignment horizontal="center" vertical="center" shrinkToFit="1"/>
      <protection hidden="1"/>
    </xf>
    <xf numFmtId="0" fontId="56" fillId="0" borderId="11" xfId="0" applyNumberFormat="1" applyFont="1" applyBorder="1" applyAlignment="1" applyProtection="1">
      <alignment horizontal="center" vertical="center" shrinkToFit="1"/>
      <protection hidden="1"/>
    </xf>
    <xf numFmtId="49" fontId="8" fillId="0" borderId="29" xfId="0" applyNumberFormat="1" applyFont="1" applyBorder="1" applyAlignment="1" applyProtection="1">
      <alignment horizontal="right" vertical="center" shrinkToFit="1"/>
      <protection hidden="1"/>
    </xf>
    <xf numFmtId="0" fontId="4" fillId="0" borderId="0" xfId="0" applyFont="1" applyBorder="1" applyAlignment="1">
      <alignment horizontal="right" vertical="center" shrinkToFit="1"/>
    </xf>
    <xf numFmtId="49" fontId="15" fillId="0" borderId="29" xfId="0" applyNumberFormat="1" applyFont="1" applyBorder="1" applyAlignment="1" applyProtection="1">
      <alignment horizontal="center" vertical="center" shrinkToFit="1"/>
      <protection hidden="1"/>
    </xf>
    <xf numFmtId="0" fontId="15" fillId="0" borderId="0" xfId="0" applyFont="1" applyBorder="1" applyAlignment="1">
      <alignment horizontal="center" vertical="center" shrinkToFit="1"/>
    </xf>
    <xf numFmtId="0" fontId="15" fillId="0" borderId="49" xfId="0" applyFont="1" applyBorder="1" applyAlignment="1">
      <alignment horizontal="center" vertical="center" shrinkToFit="1"/>
    </xf>
    <xf numFmtId="49" fontId="15" fillId="0" borderId="34" xfId="0" applyNumberFormat="1" applyFont="1" applyBorder="1" applyAlignment="1" applyProtection="1">
      <alignment horizontal="center" vertical="center"/>
      <protection hidden="1"/>
    </xf>
    <xf numFmtId="0" fontId="4" fillId="0" borderId="24" xfId="0" applyFont="1" applyBorder="1" applyAlignment="1">
      <alignment vertical="center"/>
    </xf>
    <xf numFmtId="0" fontId="4" fillId="0" borderId="39" xfId="0" applyFont="1" applyBorder="1" applyAlignment="1">
      <alignment vertical="center"/>
    </xf>
    <xf numFmtId="0" fontId="4" fillId="0" borderId="0" xfId="0" applyFont="1" applyAlignment="1" applyProtection="1">
      <alignment horizontal="right" vertical="center" shrinkToFit="1"/>
      <protection hidden="1"/>
    </xf>
    <xf numFmtId="0" fontId="4" fillId="0" borderId="0" xfId="0" applyFont="1" applyAlignment="1">
      <alignment horizontal="right" vertical="center" shrinkToFit="1"/>
    </xf>
    <xf numFmtId="0" fontId="4" fillId="0" borderId="0" xfId="0" applyFont="1" applyAlignment="1" applyProtection="1">
      <alignment horizontal="left" vertical="top" wrapText="1"/>
      <protection hidden="1"/>
    </xf>
    <xf numFmtId="49" fontId="15" fillId="0" borderId="50" xfId="0" applyNumberFormat="1" applyFont="1" applyBorder="1" applyAlignment="1" applyProtection="1">
      <alignment horizontal="center" vertical="center"/>
      <protection hidden="1"/>
    </xf>
    <xf numFmtId="49" fontId="15" fillId="0" borderId="51" xfId="0" applyNumberFormat="1" applyFont="1" applyBorder="1" applyAlignment="1" applyProtection="1">
      <alignment horizontal="center" vertical="center"/>
      <protection hidden="1"/>
    </xf>
    <xf numFmtId="49" fontId="15" fillId="0" borderId="52" xfId="0" applyNumberFormat="1" applyFont="1" applyBorder="1" applyAlignment="1" applyProtection="1">
      <alignment horizontal="center" vertical="center"/>
      <protection hidden="1"/>
    </xf>
    <xf numFmtId="0" fontId="4" fillId="0" borderId="21" xfId="0" applyFont="1" applyBorder="1" applyAlignment="1" applyProtection="1">
      <alignment horizontal="center" shrinkToFit="1"/>
      <protection hidden="1"/>
    </xf>
    <xf numFmtId="0" fontId="4" fillId="0" borderId="11" xfId="0" applyFont="1" applyBorder="1" applyAlignment="1" applyProtection="1">
      <alignment horizontal="center" shrinkToFit="1"/>
      <protection hidden="1"/>
    </xf>
    <xf numFmtId="0" fontId="10" fillId="0" borderId="20" xfId="0" applyFont="1" applyBorder="1" applyAlignment="1" applyProtection="1">
      <alignment horizontal="center" vertical="top" shrinkToFit="1"/>
      <protection hidden="1"/>
    </xf>
    <xf numFmtId="0" fontId="10" fillId="0" borderId="13" xfId="0" applyFont="1" applyBorder="1" applyAlignment="1" applyProtection="1">
      <alignment horizontal="center" vertical="top" shrinkToFit="1"/>
      <protection hidden="1"/>
    </xf>
    <xf numFmtId="189" fontId="4" fillId="0" borderId="24" xfId="0" applyNumberFormat="1" applyFont="1" applyBorder="1" applyAlignment="1" applyProtection="1">
      <alignment horizontal="right" vertical="center" shrinkToFit="1"/>
      <protection hidden="1"/>
    </xf>
    <xf numFmtId="189" fontId="4" fillId="0" borderId="28" xfId="0" applyNumberFormat="1" applyFont="1" applyBorder="1" applyAlignment="1" applyProtection="1">
      <alignment horizontal="right" vertical="center" shrinkToFit="1"/>
      <protection hidden="1"/>
    </xf>
    <xf numFmtId="185" fontId="4" fillId="0" borderId="53" xfId="0" applyNumberFormat="1" applyFont="1" applyBorder="1" applyAlignment="1" applyProtection="1">
      <alignment horizontal="center" vertical="center" shrinkToFit="1"/>
      <protection hidden="1"/>
    </xf>
    <xf numFmtId="185" fontId="4" fillId="0" borderId="54" xfId="0" applyNumberFormat="1" applyFont="1" applyBorder="1" applyAlignment="1" applyProtection="1">
      <alignment horizontal="center" vertical="center" shrinkToFit="1"/>
      <protection hidden="1"/>
    </xf>
    <xf numFmtId="189" fontId="4" fillId="0" borderId="32" xfId="0" applyNumberFormat="1" applyFont="1" applyBorder="1" applyAlignment="1" applyProtection="1">
      <alignment horizontal="right" vertical="center" shrinkToFit="1"/>
      <protection hidden="1"/>
    </xf>
    <xf numFmtId="0" fontId="5" fillId="0" borderId="55" xfId="0" applyFont="1" applyBorder="1" applyAlignment="1" applyProtection="1">
      <alignment vertical="center" shrinkToFit="1"/>
      <protection hidden="1"/>
    </xf>
    <xf numFmtId="0" fontId="4" fillId="0" borderId="56" xfId="0" applyFont="1" applyBorder="1" applyAlignment="1">
      <alignment vertical="center" shrinkToFit="1"/>
    </xf>
    <xf numFmtId="0" fontId="4" fillId="0" borderId="57" xfId="0" applyFont="1" applyBorder="1" applyAlignment="1">
      <alignment vertical="center" shrinkToFit="1"/>
    </xf>
    <xf numFmtId="0" fontId="4" fillId="0" borderId="39" xfId="0" applyFont="1" applyBorder="1" applyAlignment="1" applyProtection="1">
      <alignment horizontal="center" vertical="center" shrinkToFit="1"/>
      <protection hidden="1"/>
    </xf>
    <xf numFmtId="0" fontId="4" fillId="0" borderId="15" xfId="0" applyFont="1" applyBorder="1" applyAlignment="1" applyProtection="1">
      <alignment horizontal="center" vertical="center" shrinkToFit="1"/>
      <protection hidden="1"/>
    </xf>
    <xf numFmtId="0" fontId="4" fillId="0" borderId="34" xfId="0" applyFont="1" applyBorder="1" applyAlignment="1" applyProtection="1">
      <alignment horizontal="center" vertical="center" shrinkToFit="1"/>
      <protection hidden="1"/>
    </xf>
    <xf numFmtId="0" fontId="4" fillId="0" borderId="24" xfId="0" applyFont="1" applyBorder="1" applyAlignment="1" applyProtection="1">
      <alignment horizontal="center" vertical="center" shrinkToFit="1"/>
      <protection hidden="1"/>
    </xf>
    <xf numFmtId="0" fontId="14" fillId="0" borderId="0" xfId="0" applyFont="1" applyBorder="1" applyAlignment="1" applyProtection="1">
      <alignment horizontal="left" vertical="center" shrinkToFit="1"/>
      <protection hidden="1"/>
    </xf>
    <xf numFmtId="0" fontId="5" fillId="0" borderId="0" xfId="0" applyFont="1" applyAlignment="1">
      <alignment vertical="center"/>
    </xf>
    <xf numFmtId="49" fontId="15" fillId="0" borderId="58" xfId="0" applyNumberFormat="1" applyFont="1" applyBorder="1" applyAlignment="1" applyProtection="1">
      <alignment horizontal="center" vertical="center"/>
      <protection hidden="1"/>
    </xf>
    <xf numFmtId="49" fontId="15" fillId="0" borderId="36" xfId="0" applyNumberFormat="1" applyFont="1" applyBorder="1" applyAlignment="1">
      <alignment vertical="center"/>
    </xf>
    <xf numFmtId="0" fontId="4" fillId="34" borderId="59" xfId="0" applyFont="1" applyFill="1" applyBorder="1" applyAlignment="1" applyProtection="1">
      <alignment vertical="center" shrinkToFit="1"/>
      <protection hidden="1"/>
    </xf>
    <xf numFmtId="0" fontId="4" fillId="0" borderId="18" xfId="0" applyFont="1" applyBorder="1" applyAlignment="1">
      <alignment vertical="center"/>
    </xf>
    <xf numFmtId="0" fontId="4" fillId="0" borderId="36" xfId="0" applyFont="1" applyBorder="1" applyAlignment="1" applyProtection="1">
      <alignment horizontal="center" vertical="center" shrinkToFit="1"/>
      <protection hidden="1"/>
    </xf>
    <xf numFmtId="0" fontId="4"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color indexed="10"/>
      </font>
    </dxf>
    <dxf>
      <font>
        <color indexed="9"/>
      </font>
    </dxf>
    <dxf>
      <font>
        <color indexed="9"/>
      </font>
    </dxf>
    <dxf>
      <font>
        <color rgb="FFFFFFFF"/>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tabColor theme="5" tint="0.7999799847602844"/>
    <pageSetUpPr fitToPage="1"/>
  </sheetPr>
  <dimension ref="A1:AL80"/>
  <sheetViews>
    <sheetView showGridLines="0" tabSelected="1" view="pageBreakPreview" zoomScale="85" zoomScaleNormal="85" zoomScaleSheetLayoutView="85" workbookViewId="0" topLeftCell="A16">
      <selection activeCell="J20" sqref="J20:K20"/>
    </sheetView>
  </sheetViews>
  <sheetFormatPr defaultColWidth="9.00390625" defaultRowHeight="13.5"/>
  <cols>
    <col min="1" max="1" width="1.625" style="4" customWidth="1"/>
    <col min="2" max="2" width="6.125" style="4" customWidth="1"/>
    <col min="3" max="3" width="12.375" style="4" customWidth="1"/>
    <col min="4" max="4" width="13.00390625" style="4" customWidth="1"/>
    <col min="5" max="5" width="11.625" style="4" customWidth="1"/>
    <col min="6" max="6" width="15.875" style="4" bestFit="1" customWidth="1"/>
    <col min="7" max="7" width="12.625" style="5" customWidth="1"/>
    <col min="8" max="8" width="12.00390625" style="4" customWidth="1"/>
    <col min="9" max="9" width="11.625" style="4" customWidth="1"/>
    <col min="10" max="10" width="7.75390625" style="4" customWidth="1"/>
    <col min="11" max="11" width="8.375" style="4" customWidth="1"/>
    <col min="12" max="12" width="11.50390625" style="4" customWidth="1"/>
    <col min="13" max="13" width="12.125" style="4" customWidth="1"/>
    <col min="14" max="14" width="13.875" style="4" bestFit="1" customWidth="1"/>
    <col min="15" max="15" width="2.50390625" style="4" customWidth="1"/>
    <col min="16" max="16" width="13.875" style="4" customWidth="1"/>
    <col min="17" max="17" width="12.00390625" style="4" customWidth="1"/>
    <col min="18" max="18" width="18.25390625" style="4" customWidth="1"/>
    <col min="19" max="19" width="10.875" style="4" customWidth="1"/>
    <col min="20" max="20" width="12.625" style="4" customWidth="1"/>
    <col min="21" max="21" width="9.625" style="4" customWidth="1"/>
    <col min="22" max="22" width="10.625" style="4" customWidth="1"/>
    <col min="23" max="23" width="10.875" style="4" customWidth="1"/>
    <col min="24" max="26" width="12.625" style="4" customWidth="1"/>
    <col min="27" max="27" width="11.25390625" style="4" customWidth="1"/>
    <col min="28" max="28" width="9.125" style="4" customWidth="1"/>
    <col min="29" max="29" width="10.00390625" style="4" customWidth="1"/>
    <col min="30" max="31" width="9.125" style="4" customWidth="1"/>
    <col min="32" max="35" width="9.00390625" style="4" customWidth="1"/>
    <col min="36" max="16384" width="9.00390625" style="4" customWidth="1"/>
  </cols>
  <sheetData>
    <row r="1" spans="1:25" ht="23.25" customHeight="1">
      <c r="A1" s="1"/>
      <c r="B1" s="218" t="s">
        <v>49</v>
      </c>
      <c r="C1" s="219"/>
      <c r="D1" s="219"/>
      <c r="E1" s="219"/>
      <c r="F1" s="135">
        <f>データ!B2</f>
        <v>6</v>
      </c>
      <c r="G1" s="84"/>
      <c r="H1" s="2"/>
      <c r="I1" s="2"/>
      <c r="J1" s="2"/>
      <c r="K1" s="2"/>
      <c r="L1" s="2"/>
      <c r="M1" s="2"/>
      <c r="N1" s="2"/>
      <c r="O1" s="2"/>
      <c r="P1" s="2"/>
      <c r="Q1" s="2"/>
      <c r="R1" s="4" t="s">
        <v>6</v>
      </c>
      <c r="S1" s="4" t="s">
        <v>80</v>
      </c>
      <c r="T1" s="4" t="s">
        <v>5</v>
      </c>
      <c r="X1" s="4" t="s">
        <v>81</v>
      </c>
      <c r="Y1" s="4" t="s">
        <v>82</v>
      </c>
    </row>
    <row r="2" spans="1:36" ht="14.25" customHeight="1">
      <c r="A2" s="1"/>
      <c r="B2" s="6" t="str">
        <f>"【用意するもの】　令和5年中の所得額のわかるもの（所得税の確定申告書の控え、源泉徴収票等）"</f>
        <v>【用意するもの】　令和5年中の所得額のわかるもの（所得税の確定申告書の控え、源泉徴収票等）</v>
      </c>
      <c r="D2" s="6"/>
      <c r="E2" s="6"/>
      <c r="F2" s="2"/>
      <c r="G2" s="7"/>
      <c r="H2" s="64"/>
      <c r="I2" s="7"/>
      <c r="J2" s="7"/>
      <c r="K2" s="7"/>
      <c r="L2" s="7"/>
      <c r="N2" s="2"/>
      <c r="O2" s="2"/>
      <c r="P2" s="2"/>
      <c r="Q2" s="2"/>
      <c r="R2" s="56">
        <f aca="true" t="shared" si="0" ref="R2:R7">J16-L16</f>
        <v>0</v>
      </c>
      <c r="S2" s="43">
        <f aca="true" t="shared" si="1" ref="S2:S7">E16</f>
        <v>0</v>
      </c>
      <c r="T2" s="43">
        <f>INDEX(T8:T18,MATCH(S2,S8:S18,1))</f>
        <v>-550000</v>
      </c>
      <c r="U2" s="42">
        <f aca="true" t="shared" si="2" ref="U2:U7">IF(ISBLANK(T2),"",IF(T2&lt;0,0,T2))</f>
        <v>0</v>
      </c>
      <c r="V2" s="57"/>
      <c r="W2" s="57">
        <f>IF(C16="65～74歳","高齢",IF(C16="40～64歳","中齢",""))</f>
      </c>
      <c r="X2" s="58">
        <f aca="true" t="shared" si="3" ref="X2:X7">G16</f>
        <v>0</v>
      </c>
      <c r="Y2" s="59">
        <f aca="true" ca="1" t="shared" si="4" ref="Y2:Y7">IF(ISERROR(VLOOKUP(X2,INDIRECT(W2),2)),0,VLOOKUP(X2,INDIRECT(W2),2))</f>
        <v>0</v>
      </c>
      <c r="Z2" s="60">
        <f aca="true" t="shared" si="5" ref="Z2:Z7">IF(ISBLANK(Y2),"",IF(Y2&lt;0,0,Y2))</f>
        <v>0</v>
      </c>
      <c r="AA2" s="42">
        <f aca="true" t="shared" si="6" ref="AA2:AA7">IF(C16="40～64歳",M16,0)</f>
        <v>0</v>
      </c>
      <c r="AB2" s="9"/>
      <c r="AC2" s="73" t="s">
        <v>94</v>
      </c>
      <c r="AE2" s="62" t="s">
        <v>31</v>
      </c>
      <c r="AF2" s="42">
        <f>ROUND('令和6年度国保試算表'!M33/1,-2)</f>
        <v>0</v>
      </c>
      <c r="AG2" s="42">
        <v>12</v>
      </c>
      <c r="AI2" s="42">
        <f>COUNTIF($C$16:$C$20,"&lt;&gt;0～5歳")</f>
        <v>5</v>
      </c>
      <c r="AJ2" s="4" t="s">
        <v>93</v>
      </c>
    </row>
    <row r="3" spans="1:36" ht="14.25" customHeight="1">
      <c r="A3" s="1"/>
      <c r="D3" s="6"/>
      <c r="E3" s="6"/>
      <c r="F3" s="2"/>
      <c r="G3" s="7"/>
      <c r="H3" s="64"/>
      <c r="I3" s="7"/>
      <c r="J3" s="7"/>
      <c r="K3" s="7"/>
      <c r="L3" s="7"/>
      <c r="N3" s="2"/>
      <c r="O3" s="2"/>
      <c r="P3" s="2"/>
      <c r="Q3" s="2"/>
      <c r="R3" s="56">
        <f t="shared" si="0"/>
        <v>0</v>
      </c>
      <c r="S3" s="43">
        <f t="shared" si="1"/>
        <v>0</v>
      </c>
      <c r="T3" s="43">
        <f>INDEX(T20:T30,MATCH(S3,S20:S30,1))</f>
        <v>-550000</v>
      </c>
      <c r="U3" s="42">
        <f t="shared" si="2"/>
        <v>0</v>
      </c>
      <c r="V3" s="42"/>
      <c r="W3" s="57">
        <f>IF(C17="65～74歳","高齢２",IF(C17="40～64歳","中齢２",""))</f>
      </c>
      <c r="X3" s="43">
        <f t="shared" si="3"/>
        <v>0</v>
      </c>
      <c r="Y3" s="61">
        <f ca="1" t="shared" si="4"/>
        <v>0</v>
      </c>
      <c r="Z3" s="25">
        <f t="shared" si="5"/>
        <v>0</v>
      </c>
      <c r="AA3" s="42">
        <f t="shared" si="6"/>
        <v>0</v>
      </c>
      <c r="AC3" s="73" t="s">
        <v>95</v>
      </c>
      <c r="AE3" s="62" t="s">
        <v>32</v>
      </c>
      <c r="AF3" s="42">
        <f>ROUND('令和6年度国保試算表'!M33/12*11,-2)</f>
        <v>0</v>
      </c>
      <c r="AG3" s="42">
        <v>11</v>
      </c>
      <c r="AI3" s="42">
        <f>COUNTIF($C$16:$C$20,"")</f>
        <v>5</v>
      </c>
      <c r="AJ3" s="4" t="s">
        <v>92</v>
      </c>
    </row>
    <row r="4" spans="1:33" ht="14.25" customHeight="1">
      <c r="A4" s="1"/>
      <c r="B4" s="4" t="s">
        <v>63</v>
      </c>
      <c r="C4" s="6"/>
      <c r="G4" s="4"/>
      <c r="R4" s="56">
        <f t="shared" si="0"/>
        <v>0</v>
      </c>
      <c r="S4" s="43">
        <f t="shared" si="1"/>
        <v>0</v>
      </c>
      <c r="T4" s="43">
        <f>INDEX(T33:T44,MATCH(S4,S33:S44,1))</f>
        <v>-550000</v>
      </c>
      <c r="U4" s="42">
        <f t="shared" si="2"/>
        <v>0</v>
      </c>
      <c r="V4" s="57"/>
      <c r="W4" s="57">
        <f>IF(C18="65～74歳","高齢３",IF(C18="40～64歳","中齢３",""))</f>
      </c>
      <c r="X4" s="58">
        <f t="shared" si="3"/>
        <v>0</v>
      </c>
      <c r="Y4" s="59">
        <f ca="1" t="shared" si="4"/>
        <v>0</v>
      </c>
      <c r="Z4" s="60">
        <f t="shared" si="5"/>
        <v>0</v>
      </c>
      <c r="AA4" s="42">
        <f t="shared" si="6"/>
        <v>0</v>
      </c>
      <c r="AC4" s="73" t="s">
        <v>47</v>
      </c>
      <c r="AE4" s="62" t="s">
        <v>33</v>
      </c>
      <c r="AF4" s="42">
        <f>ROUND('令和6年度国保試算表'!M33/12*10,-2)</f>
        <v>0</v>
      </c>
      <c r="AG4" s="42">
        <v>10</v>
      </c>
    </row>
    <row r="5" spans="1:33" ht="14.25" customHeight="1">
      <c r="A5" s="1"/>
      <c r="B5" s="89" t="s">
        <v>68</v>
      </c>
      <c r="C5" s="2" t="str">
        <f>"①に国保に入る人の年齢（令和"&amp;F1&amp;"年4月1日現在）を、0～5歳、6～39歳、40～64歳、65～74歳の中から選んでください。"</f>
        <v>①に国保に入る人の年齢（令和6年4月1日現在）を、0～5歳、6～39歳、40～64歳、65～74歳の中から選んでください。</v>
      </c>
      <c r="D5" s="2"/>
      <c r="E5" s="2"/>
      <c r="F5" s="2"/>
      <c r="G5" s="2"/>
      <c r="H5" s="2"/>
      <c r="I5" s="2"/>
      <c r="J5" s="2"/>
      <c r="K5" s="111"/>
      <c r="L5" s="111" t="s">
        <v>98</v>
      </c>
      <c r="R5" s="56">
        <f t="shared" si="0"/>
        <v>0</v>
      </c>
      <c r="S5" s="43">
        <f t="shared" si="1"/>
        <v>0</v>
      </c>
      <c r="T5" s="43">
        <f>INDEX(T45:T56,MATCH(S5,S45:S56,1))</f>
        <v>-550000</v>
      </c>
      <c r="U5" s="42">
        <f t="shared" si="2"/>
        <v>0</v>
      </c>
      <c r="V5" s="57"/>
      <c r="W5" s="57">
        <f>IF(C19="65～74歳","高齢４",IF(C19="40～64歳","中齢４",""))</f>
      </c>
      <c r="X5" s="58">
        <f t="shared" si="3"/>
        <v>0</v>
      </c>
      <c r="Y5" s="59">
        <f ca="1" t="shared" si="4"/>
        <v>0</v>
      </c>
      <c r="Z5" s="60">
        <f t="shared" si="5"/>
        <v>0</v>
      </c>
      <c r="AA5" s="42">
        <f t="shared" si="6"/>
        <v>0</v>
      </c>
      <c r="AC5" s="74" t="s">
        <v>72</v>
      </c>
      <c r="AE5" s="62" t="s">
        <v>34</v>
      </c>
      <c r="AF5" s="42">
        <f>ROUND('令和6年度国保試算表'!M33/12*9,-2)</f>
        <v>0</v>
      </c>
      <c r="AG5" s="42">
        <v>9</v>
      </c>
    </row>
    <row r="6" spans="1:33" ht="14.25" customHeight="1">
      <c r="A6" s="11"/>
      <c r="B6" s="89" t="s">
        <v>69</v>
      </c>
      <c r="C6" s="6" t="s">
        <v>51</v>
      </c>
      <c r="D6" s="6"/>
      <c r="E6" s="6"/>
      <c r="F6" s="2"/>
      <c r="G6" s="7"/>
      <c r="H6" s="7"/>
      <c r="I6" s="7"/>
      <c r="J6" s="7"/>
      <c r="K6" s="7"/>
      <c r="L6" s="7"/>
      <c r="R6" s="56">
        <f t="shared" si="0"/>
        <v>0</v>
      </c>
      <c r="S6" s="43">
        <f t="shared" si="1"/>
        <v>0</v>
      </c>
      <c r="T6" s="43">
        <f>INDEX(T57:T67,MATCH(S6,S57:S67,1))</f>
        <v>-550000</v>
      </c>
      <c r="U6" s="42">
        <f t="shared" si="2"/>
        <v>0</v>
      </c>
      <c r="V6" s="57"/>
      <c r="W6" s="57">
        <f>IF(C20="65～74歳","高齢５",IF(C20="40～64歳","中齢５",""))</f>
      </c>
      <c r="X6" s="58">
        <f t="shared" si="3"/>
        <v>0</v>
      </c>
      <c r="Y6" s="59">
        <f ca="1" t="shared" si="4"/>
        <v>0</v>
      </c>
      <c r="Z6" s="60">
        <f t="shared" si="5"/>
        <v>0</v>
      </c>
      <c r="AA6" s="42">
        <f t="shared" si="6"/>
        <v>0</v>
      </c>
      <c r="AE6" s="62" t="s">
        <v>35</v>
      </c>
      <c r="AF6" s="42">
        <f>ROUND('令和6年度国保試算表'!M33/12*8,-2)</f>
        <v>0</v>
      </c>
      <c r="AG6" s="42">
        <v>8</v>
      </c>
    </row>
    <row r="7" spans="1:33" ht="14.25" customHeight="1">
      <c r="A7" s="11"/>
      <c r="B7" s="89"/>
      <c r="C7" s="13" t="s">
        <v>73</v>
      </c>
      <c r="D7" s="6"/>
      <c r="E7" s="6"/>
      <c r="F7" s="2"/>
      <c r="G7" s="7"/>
      <c r="H7" s="7"/>
      <c r="I7" s="7"/>
      <c r="J7" s="7"/>
      <c r="K7" s="7"/>
      <c r="L7" s="7"/>
      <c r="R7" s="56" t="e">
        <f t="shared" si="0"/>
        <v>#N/A</v>
      </c>
      <c r="S7" s="43">
        <f t="shared" si="1"/>
        <v>0</v>
      </c>
      <c r="T7" s="43" t="e">
        <f>INDEX(T69:T80,MATCH(S7,S69:S80,1))</f>
        <v>#N/A</v>
      </c>
      <c r="U7" s="42" t="e">
        <f t="shared" si="2"/>
        <v>#N/A</v>
      </c>
      <c r="V7" s="57"/>
      <c r="W7" s="57">
        <f>IF(C21="65～74歳","高齢６",IF(C21="40～64歳","中齢６",""))</f>
      </c>
      <c r="X7" s="58">
        <f t="shared" si="3"/>
        <v>0</v>
      </c>
      <c r="Y7" s="59">
        <f ca="1" t="shared" si="4"/>
        <v>0</v>
      </c>
      <c r="Z7" s="60">
        <f t="shared" si="5"/>
        <v>0</v>
      </c>
      <c r="AA7" s="42">
        <f t="shared" si="6"/>
        <v>0</v>
      </c>
      <c r="AE7" s="62" t="s">
        <v>36</v>
      </c>
      <c r="AF7" s="42">
        <f>ROUND('令和6年度国保試算表'!M33/12*7,-2)</f>
        <v>0</v>
      </c>
      <c r="AG7" s="42">
        <v>7</v>
      </c>
    </row>
    <row r="8" spans="1:33" ht="14.25" customHeight="1">
      <c r="A8" s="1"/>
      <c r="B8" s="89"/>
      <c r="C8" s="13" t="s">
        <v>52</v>
      </c>
      <c r="D8" s="6"/>
      <c r="E8" s="6"/>
      <c r="F8" s="2"/>
      <c r="G8" s="7"/>
      <c r="H8" s="7"/>
      <c r="I8" s="7"/>
      <c r="J8" s="7"/>
      <c r="K8" s="7"/>
      <c r="L8" s="7"/>
      <c r="R8" s="12"/>
      <c r="S8" s="147">
        <v>0</v>
      </c>
      <c r="T8" s="148">
        <f>S2-550000</f>
        <v>-550000</v>
      </c>
      <c r="V8" s="8"/>
      <c r="AE8" s="62" t="s">
        <v>37</v>
      </c>
      <c r="AF8" s="42">
        <f>ROUND('令和6年度国保試算表'!M33/12*6,-2)</f>
        <v>0</v>
      </c>
      <c r="AG8" s="42">
        <v>6</v>
      </c>
    </row>
    <row r="9" spans="1:33" ht="18.75" customHeight="1">
      <c r="A9" s="1"/>
      <c r="B9" s="89"/>
      <c r="C9" s="13" t="s">
        <v>74</v>
      </c>
      <c r="D9" s="6"/>
      <c r="E9" s="6"/>
      <c r="F9" s="2"/>
      <c r="G9" s="7"/>
      <c r="H9" s="7"/>
      <c r="I9" s="7"/>
      <c r="J9" s="7"/>
      <c r="K9" s="7"/>
      <c r="L9" s="7"/>
      <c r="R9" s="10"/>
      <c r="S9" s="147">
        <v>1619000</v>
      </c>
      <c r="T9" s="147">
        <v>1069000</v>
      </c>
      <c r="V9" s="8"/>
      <c r="W9" s="4" t="s">
        <v>83</v>
      </c>
      <c r="Y9" s="4" t="s">
        <v>84</v>
      </c>
      <c r="AE9" s="62" t="s">
        <v>38</v>
      </c>
      <c r="AF9" s="42">
        <f>ROUND('令和6年度国保試算表'!M33/12*5,-2)</f>
        <v>0</v>
      </c>
      <c r="AG9" s="42">
        <v>5</v>
      </c>
    </row>
    <row r="10" spans="1:33" ht="18.75" customHeight="1">
      <c r="A10" s="1"/>
      <c r="B10" s="89"/>
      <c r="C10" s="13" t="s">
        <v>53</v>
      </c>
      <c r="D10" s="6"/>
      <c r="E10" s="6"/>
      <c r="F10" s="2"/>
      <c r="G10" s="7"/>
      <c r="H10" s="7"/>
      <c r="I10" s="7"/>
      <c r="J10" s="7"/>
      <c r="K10" s="7"/>
      <c r="L10" s="7"/>
      <c r="R10" s="10"/>
      <c r="S10" s="147">
        <v>1620000</v>
      </c>
      <c r="T10" s="147">
        <v>1070000</v>
      </c>
      <c r="V10" s="8"/>
      <c r="W10" s="14">
        <v>0</v>
      </c>
      <c r="X10" s="10">
        <f>X2-1100000</f>
        <v>-1100000</v>
      </c>
      <c r="Y10" s="14">
        <v>0</v>
      </c>
      <c r="Z10" s="10">
        <f>X2-600000</f>
        <v>-600000</v>
      </c>
      <c r="AE10" s="62" t="s">
        <v>77</v>
      </c>
      <c r="AF10" s="42">
        <f>ROUND('令和6年度国保試算表'!M33/12*4,-2)</f>
        <v>0</v>
      </c>
      <c r="AG10" s="42">
        <v>4</v>
      </c>
    </row>
    <row r="11" spans="1:33" ht="18.75" customHeight="1">
      <c r="A11" s="1"/>
      <c r="B11" s="89" t="s">
        <v>70</v>
      </c>
      <c r="C11" s="6" t="s">
        <v>46</v>
      </c>
      <c r="D11" s="6"/>
      <c r="E11" s="6"/>
      <c r="F11" s="2"/>
      <c r="G11" s="7"/>
      <c r="H11" s="7"/>
      <c r="I11" s="7"/>
      <c r="J11" s="7"/>
      <c r="K11" s="7"/>
      <c r="L11" s="7"/>
      <c r="N11" s="2"/>
      <c r="O11" s="2"/>
      <c r="P11" s="2"/>
      <c r="Q11" s="2"/>
      <c r="S11" s="147">
        <v>1622000</v>
      </c>
      <c r="T11" s="147">
        <v>1072000</v>
      </c>
      <c r="W11" s="14">
        <v>3300001</v>
      </c>
      <c r="X11" s="10">
        <f>ROUNDDOWN(X2*0.75-275000,0)</f>
        <v>-275000</v>
      </c>
      <c r="Y11" s="14">
        <v>1300001</v>
      </c>
      <c r="Z11" s="137">
        <f>ROUNDDOWN(X2-(X2*0.25+275000),0)</f>
        <v>-275000</v>
      </c>
      <c r="AE11" s="62" t="s">
        <v>39</v>
      </c>
      <c r="AF11" s="42">
        <f>ROUND('令和6年度国保試算表'!M33/12*3,-2)</f>
        <v>0</v>
      </c>
      <c r="AG11" s="42">
        <v>3</v>
      </c>
    </row>
    <row r="12" spans="1:33" ht="18.75" customHeight="1">
      <c r="A12" s="1"/>
      <c r="B12" s="89" t="s">
        <v>71</v>
      </c>
      <c r="C12" s="6" t="str">
        <f>"加入月により年税額は変わります。加入する月を選ぶことにより、令和"&amp;WIDECHAR(F1)&amp;"年度に納めていただく保険税の概算額が表示されます。"</f>
        <v>加入月により年税額は変わります。加入する月を選ぶことにより、令和６年度に納めていただく保険税の概算額が表示されます。</v>
      </c>
      <c r="D12" s="6"/>
      <c r="E12" s="6"/>
      <c r="F12" s="2"/>
      <c r="G12" s="7"/>
      <c r="H12" s="7"/>
      <c r="I12" s="7"/>
      <c r="J12" s="7"/>
      <c r="K12" s="7"/>
      <c r="L12" s="7"/>
      <c r="N12" s="2"/>
      <c r="O12" s="2"/>
      <c r="P12" s="2"/>
      <c r="Q12" s="2"/>
      <c r="S12" s="147">
        <v>1624000</v>
      </c>
      <c r="T12" s="147">
        <v>1074000</v>
      </c>
      <c r="W12" s="14">
        <v>4100000</v>
      </c>
      <c r="X12" s="10">
        <f>ROUNDDOWN(X2*0.85-685000,0)</f>
        <v>-685000</v>
      </c>
      <c r="Y12" s="14">
        <v>4100000</v>
      </c>
      <c r="Z12" s="10">
        <f>ROUNDDOWN(X2-(X2*0.15+685000),0)</f>
        <v>-685000</v>
      </c>
      <c r="AE12" s="62" t="s">
        <v>40</v>
      </c>
      <c r="AF12" s="42">
        <f>ROUND('令和6年度国保試算表'!M33/12*2,-2)</f>
        <v>0</v>
      </c>
      <c r="AG12" s="42">
        <v>2</v>
      </c>
    </row>
    <row r="13" spans="1:33" ht="18.75" customHeight="1" thickBot="1">
      <c r="A13" s="1"/>
      <c r="B13" s="3"/>
      <c r="C13" s="6"/>
      <c r="D13" s="6"/>
      <c r="E13" s="6"/>
      <c r="F13" s="2"/>
      <c r="G13" s="7"/>
      <c r="H13" s="7"/>
      <c r="I13" s="7"/>
      <c r="J13" s="7"/>
      <c r="K13" s="7"/>
      <c r="L13" s="7"/>
      <c r="N13" s="2"/>
      <c r="O13" s="2"/>
      <c r="P13" s="2"/>
      <c r="Q13" s="2"/>
      <c r="S13" s="149">
        <v>1628000</v>
      </c>
      <c r="T13" s="149">
        <f>ROUNDDOWN(S2/4000,0)*4000*60/100+100000</f>
        <v>100000</v>
      </c>
      <c r="W13" s="14">
        <v>7700000</v>
      </c>
      <c r="X13" s="10">
        <f>ROUNDDOWN(X2*0.95-1455000,0)</f>
        <v>-1455000</v>
      </c>
      <c r="Y13" s="14">
        <v>7700000</v>
      </c>
      <c r="Z13" s="10">
        <f>ROUNDDOWN(X2-(X2*0.05+1455000),0)</f>
        <v>-1455000</v>
      </c>
      <c r="AE13" s="62" t="s">
        <v>41</v>
      </c>
      <c r="AF13" s="42">
        <f>ROUND('令和6年度国保試算表'!M33/12,-2)</f>
        <v>0</v>
      </c>
      <c r="AG13" s="42">
        <v>1</v>
      </c>
    </row>
    <row r="14" spans="1:26" ht="18.75" customHeight="1" thickBot="1">
      <c r="A14" s="1"/>
      <c r="B14" s="220" t="s">
        <v>66</v>
      </c>
      <c r="C14" s="221"/>
      <c r="D14" s="199" t="s">
        <v>67</v>
      </c>
      <c r="E14" s="200"/>
      <c r="F14" s="200"/>
      <c r="G14" s="200"/>
      <c r="H14" s="200"/>
      <c r="I14" s="200"/>
      <c r="J14" s="200"/>
      <c r="K14" s="200"/>
      <c r="L14" s="200"/>
      <c r="M14" s="200"/>
      <c r="N14" s="201"/>
      <c r="O14" s="2"/>
      <c r="P14" s="2"/>
      <c r="Q14" s="2"/>
      <c r="S14" s="149">
        <v>1800000</v>
      </c>
      <c r="T14" s="149">
        <f>ROUNDDOWN(S2/4000,0)*4000*70/100-80000</f>
        <v>-80000</v>
      </c>
      <c r="W14" s="4">
        <v>10000000</v>
      </c>
      <c r="X14" s="12">
        <f>X2-1955000</f>
        <v>-1955000</v>
      </c>
      <c r="Y14" s="4">
        <v>10000000</v>
      </c>
      <c r="Z14" s="12">
        <f>X2-1955000</f>
        <v>-1955000</v>
      </c>
    </row>
    <row r="15" spans="1:26" ht="18.75" customHeight="1">
      <c r="A15" s="1"/>
      <c r="B15" s="222" t="s">
        <v>55</v>
      </c>
      <c r="C15" s="223"/>
      <c r="D15" s="95" t="s">
        <v>10</v>
      </c>
      <c r="E15" s="95" t="s">
        <v>11</v>
      </c>
      <c r="F15" s="162" t="s">
        <v>5</v>
      </c>
      <c r="G15" s="95" t="s">
        <v>22</v>
      </c>
      <c r="H15" s="162" t="s">
        <v>23</v>
      </c>
      <c r="I15" s="98" t="s">
        <v>61</v>
      </c>
      <c r="J15" s="224" t="s">
        <v>24</v>
      </c>
      <c r="K15" s="224"/>
      <c r="L15" s="163" t="s">
        <v>14</v>
      </c>
      <c r="M15" s="177" t="s">
        <v>6</v>
      </c>
      <c r="N15" s="178"/>
      <c r="O15" s="68"/>
      <c r="P15" s="68"/>
      <c r="Q15" s="16"/>
      <c r="R15" s="10"/>
      <c r="S15" s="149">
        <v>3600000</v>
      </c>
      <c r="T15" s="149">
        <f>ROUNDDOWN(S2/4000,0)*4000*80/100-440000</f>
        <v>-440000</v>
      </c>
      <c r="W15" s="14">
        <v>0</v>
      </c>
      <c r="X15" s="10">
        <f>X3-1100000</f>
        <v>-1100000</v>
      </c>
      <c r="Y15" s="14">
        <v>0</v>
      </c>
      <c r="Z15" s="10">
        <f>X3-600000</f>
        <v>-600000</v>
      </c>
    </row>
    <row r="16" spans="1:26" ht="14.25" customHeight="1">
      <c r="A16" s="1"/>
      <c r="B16" s="92" t="s">
        <v>56</v>
      </c>
      <c r="C16" s="104"/>
      <c r="D16" s="108"/>
      <c r="E16" s="103"/>
      <c r="F16" s="94">
        <f aca="true" t="shared" si="7" ref="F16:F21">U2</f>
        <v>0</v>
      </c>
      <c r="G16" s="96"/>
      <c r="H16" s="97">
        <f aca="true" t="shared" si="8" ref="H16:H21">Z2</f>
        <v>0</v>
      </c>
      <c r="I16" s="99"/>
      <c r="J16" s="206">
        <f>F16+H16+I16+D16</f>
        <v>0</v>
      </c>
      <c r="K16" s="206"/>
      <c r="L16" s="160">
        <f>IF(J16=0,0,データ!D8)</f>
        <v>0</v>
      </c>
      <c r="M16" s="179">
        <f>IF(ISBLANK($R2),"",IF($R2&lt;0,0,$R2))</f>
        <v>0</v>
      </c>
      <c r="N16" s="180"/>
      <c r="O16" s="69"/>
      <c r="P16" s="69"/>
      <c r="Q16" s="2"/>
      <c r="S16" s="149">
        <v>6600000</v>
      </c>
      <c r="T16" s="148">
        <f>(S2*90/100-1100000)</f>
        <v>-1100000</v>
      </c>
      <c r="W16" s="14">
        <v>3300001</v>
      </c>
      <c r="X16" s="10">
        <f>ROUNDDOWN(X3*0.75-275000,0)</f>
        <v>-275000</v>
      </c>
      <c r="Y16" s="14">
        <v>1300001</v>
      </c>
      <c r="Z16" s="137">
        <f>ROUNDDOWN(X3-(X3*0.25+275000),0)</f>
        <v>-275000</v>
      </c>
    </row>
    <row r="17" spans="1:26" ht="14.25" customHeight="1">
      <c r="A17" s="1"/>
      <c r="B17" s="92" t="s">
        <v>57</v>
      </c>
      <c r="C17" s="104"/>
      <c r="D17" s="108"/>
      <c r="E17" s="103"/>
      <c r="F17" s="94">
        <f>U3</f>
        <v>0</v>
      </c>
      <c r="G17" s="96"/>
      <c r="H17" s="97">
        <f t="shared" si="8"/>
        <v>0</v>
      </c>
      <c r="I17" s="100"/>
      <c r="J17" s="206">
        <f>D17+F17+H17+I17</f>
        <v>0</v>
      </c>
      <c r="K17" s="206"/>
      <c r="L17" s="160">
        <f>IF(J17=0,0,データ!D8)</f>
        <v>0</v>
      </c>
      <c r="M17" s="179">
        <f>IF(ISBLANK($R3),"",IF($R3&lt;0,0,$R3))</f>
        <v>0</v>
      </c>
      <c r="N17" s="180"/>
      <c r="O17" s="69"/>
      <c r="P17" s="69"/>
      <c r="Q17" s="2"/>
      <c r="S17" s="149">
        <v>8500000</v>
      </c>
      <c r="T17" s="148">
        <f>S2-1950000</f>
        <v>-1950000</v>
      </c>
      <c r="W17" s="14">
        <v>4100000</v>
      </c>
      <c r="X17" s="10">
        <f>ROUNDDOWN(X3*0.85-685000,0)</f>
        <v>-685000</v>
      </c>
      <c r="Y17" s="14">
        <v>4100000</v>
      </c>
      <c r="Z17" s="10">
        <f>ROUNDDOWN(X3-(X3*0.15+685000),0)</f>
        <v>-685000</v>
      </c>
    </row>
    <row r="18" spans="1:26" ht="14.25" customHeight="1">
      <c r="A18" s="1"/>
      <c r="B18" s="92" t="s">
        <v>58</v>
      </c>
      <c r="C18" s="104"/>
      <c r="D18" s="108"/>
      <c r="E18" s="103"/>
      <c r="F18" s="94">
        <f t="shared" si="7"/>
        <v>0</v>
      </c>
      <c r="G18" s="96"/>
      <c r="H18" s="97">
        <f t="shared" si="8"/>
        <v>0</v>
      </c>
      <c r="I18" s="100"/>
      <c r="J18" s="206">
        <f>D18+F18+H18+I18</f>
        <v>0</v>
      </c>
      <c r="K18" s="206"/>
      <c r="L18" s="160">
        <f>IF(J18=0,0,データ!D8)</f>
        <v>0</v>
      </c>
      <c r="M18" s="179">
        <f>IF(ISBLANK($R4),"",IF($R4&lt;0,0,$R4))</f>
        <v>0</v>
      </c>
      <c r="N18" s="180"/>
      <c r="O18" s="70"/>
      <c r="P18" s="70"/>
      <c r="Q18" s="17"/>
      <c r="S18" s="149">
        <v>999999999999999</v>
      </c>
      <c r="T18" s="147"/>
      <c r="W18" s="14">
        <v>7700000</v>
      </c>
      <c r="X18" s="10">
        <f>ROUNDDOWN(X3*0.95-1455000,0)</f>
        <v>-1455000</v>
      </c>
      <c r="Y18" s="14">
        <v>7700000</v>
      </c>
      <c r="Z18" s="10">
        <f>ROUNDDOWN(X3-(X3*0.05+1455000),0)</f>
        <v>-1455000</v>
      </c>
    </row>
    <row r="19" spans="1:26" ht="14.25" customHeight="1">
      <c r="A19" s="1"/>
      <c r="B19" s="92" t="s">
        <v>59</v>
      </c>
      <c r="C19" s="104"/>
      <c r="D19" s="108"/>
      <c r="E19" s="103"/>
      <c r="F19" s="94">
        <f t="shared" si="7"/>
        <v>0</v>
      </c>
      <c r="G19" s="96"/>
      <c r="H19" s="97">
        <f t="shared" si="8"/>
        <v>0</v>
      </c>
      <c r="I19" s="100"/>
      <c r="J19" s="206">
        <f>D19+F19+H19+I19</f>
        <v>0</v>
      </c>
      <c r="K19" s="206"/>
      <c r="L19" s="160">
        <f>IF(J19=0,0,データ!D8)</f>
        <v>0</v>
      </c>
      <c r="M19" s="179">
        <f>IF(ISBLANK($R5),"",IF($R5&lt;0,0,$R5))</f>
        <v>0</v>
      </c>
      <c r="N19" s="180"/>
      <c r="O19" s="69"/>
      <c r="P19" s="69"/>
      <c r="Q19" s="2"/>
      <c r="W19" s="4">
        <v>10000000</v>
      </c>
      <c r="X19" s="12">
        <f>X3-1955000</f>
        <v>-1955000</v>
      </c>
      <c r="Y19" s="4">
        <v>10000000</v>
      </c>
      <c r="Z19" s="12">
        <f>X3-1955000</f>
        <v>-1955000</v>
      </c>
    </row>
    <row r="20" spans="1:26" ht="16.5" thickBot="1">
      <c r="A20" s="1"/>
      <c r="B20" s="93" t="s">
        <v>60</v>
      </c>
      <c r="C20" s="105"/>
      <c r="D20" s="109"/>
      <c r="E20" s="110"/>
      <c r="F20" s="106">
        <f t="shared" si="7"/>
        <v>0</v>
      </c>
      <c r="G20" s="159"/>
      <c r="H20" s="107">
        <f t="shared" si="8"/>
        <v>0</v>
      </c>
      <c r="I20" s="101"/>
      <c r="J20" s="207">
        <f>D20+F20+H20+I20</f>
        <v>0</v>
      </c>
      <c r="K20" s="207"/>
      <c r="L20" s="161">
        <f>IF(J20=0,0,データ!D8)</f>
        <v>0</v>
      </c>
      <c r="M20" s="181">
        <f>IF(ISBLANK($R6),"",IF($R6&lt;0,0,$R6))</f>
        <v>0</v>
      </c>
      <c r="N20" s="182"/>
      <c r="O20" s="69"/>
      <c r="P20" s="69"/>
      <c r="Q20" s="2"/>
      <c r="S20" s="150">
        <v>0</v>
      </c>
      <c r="T20" s="151">
        <f>S3-550000</f>
        <v>-550000</v>
      </c>
      <c r="W20" s="14">
        <v>0</v>
      </c>
      <c r="X20" s="10">
        <f>X4-1100000</f>
        <v>-1100000</v>
      </c>
      <c r="Y20" s="14">
        <v>0</v>
      </c>
      <c r="Z20" s="10">
        <f>X4-600000</f>
        <v>-600000</v>
      </c>
    </row>
    <row r="21" spans="1:26" ht="16.5" hidden="1" thickBot="1">
      <c r="A21" s="1"/>
      <c r="B21" s="126" t="s">
        <v>42</v>
      </c>
      <c r="C21" s="127"/>
      <c r="D21" s="128"/>
      <c r="E21" s="129"/>
      <c r="F21" s="130" t="e">
        <f t="shared" si="7"/>
        <v>#N/A</v>
      </c>
      <c r="G21" s="131"/>
      <c r="H21" s="132">
        <f t="shared" si="8"/>
        <v>0</v>
      </c>
      <c r="I21" s="133"/>
      <c r="J21" s="210" t="e">
        <f>D21+F21+H21+I21</f>
        <v>#N/A</v>
      </c>
      <c r="K21" s="210"/>
      <c r="L21" s="165" t="e">
        <f>IF(J21=0,0,データ!D8)</f>
        <v>#N/A</v>
      </c>
      <c r="M21" s="208"/>
      <c r="N21" s="209"/>
      <c r="O21" s="69"/>
      <c r="P21" s="69"/>
      <c r="Q21" s="2"/>
      <c r="S21" s="150">
        <v>1619000</v>
      </c>
      <c r="T21" s="150">
        <v>1069000</v>
      </c>
      <c r="W21" s="14">
        <v>3300001</v>
      </c>
      <c r="X21" s="10">
        <f>ROUNDDOWN(X4*0.75-275000,0)</f>
        <v>-275000</v>
      </c>
      <c r="Y21" s="14">
        <v>1300001</v>
      </c>
      <c r="Z21" s="137">
        <f>ROUNDDOWN(X4-(X4*0.25+275000),0)</f>
        <v>-275000</v>
      </c>
    </row>
    <row r="22" spans="1:26" ht="7.5" customHeight="1">
      <c r="A22" s="1"/>
      <c r="B22" s="2"/>
      <c r="C22" s="6"/>
      <c r="D22" s="18"/>
      <c r="E22" s="17"/>
      <c r="F22" s="17"/>
      <c r="H22" s="19"/>
      <c r="I22" s="6"/>
      <c r="J22" s="6"/>
      <c r="K22" s="6"/>
      <c r="L22" s="15"/>
      <c r="M22" s="2"/>
      <c r="N22" s="2"/>
      <c r="O22" s="2"/>
      <c r="P22" s="2"/>
      <c r="Q22" s="2"/>
      <c r="S22" s="150">
        <v>1620000</v>
      </c>
      <c r="T22" s="150">
        <v>1070000</v>
      </c>
      <c r="W22" s="14">
        <v>4100000</v>
      </c>
      <c r="X22" s="10">
        <f>ROUNDDOWN(X4*0.85-685000,0)</f>
        <v>-685000</v>
      </c>
      <c r="Y22" s="14">
        <v>4100000</v>
      </c>
      <c r="Z22" s="10">
        <f>ROUNDDOWN(X4-(X4*0.15+685000),0)</f>
        <v>-685000</v>
      </c>
    </row>
    <row r="23" spans="1:26" ht="14.25" customHeight="1">
      <c r="A23" s="1"/>
      <c r="B23" s="211"/>
      <c r="C23" s="214" t="s">
        <v>9</v>
      </c>
      <c r="D23" s="215"/>
      <c r="E23" s="215"/>
      <c r="F23" s="216" t="s">
        <v>91</v>
      </c>
      <c r="G23" s="217"/>
      <c r="H23" s="214"/>
      <c r="I23" s="171" t="s">
        <v>90</v>
      </c>
      <c r="J23" s="172"/>
      <c r="K23" s="172"/>
      <c r="L23" s="173"/>
      <c r="M23" s="183" t="s">
        <v>21</v>
      </c>
      <c r="N23" s="174" t="s">
        <v>89</v>
      </c>
      <c r="P23" s="2"/>
      <c r="Q23" s="2"/>
      <c r="S23" s="150">
        <v>1622000</v>
      </c>
      <c r="T23" s="150">
        <v>1072000</v>
      </c>
      <c r="W23" s="14">
        <v>7700000</v>
      </c>
      <c r="X23" s="10">
        <f>ROUNDDOWN(X4*0.95-1455000,0)</f>
        <v>-1455000</v>
      </c>
      <c r="Y23" s="14">
        <v>7700000</v>
      </c>
      <c r="Z23" s="10">
        <f>ROUNDDOWN(X4-(X4*0.05+1455000),0)</f>
        <v>-1455000</v>
      </c>
    </row>
    <row r="24" spans="1:26" ht="14.25" customHeight="1">
      <c r="A24" s="1"/>
      <c r="B24" s="212"/>
      <c r="C24" s="71" t="s">
        <v>6</v>
      </c>
      <c r="D24" s="20" t="s">
        <v>7</v>
      </c>
      <c r="E24" s="21" t="s">
        <v>18</v>
      </c>
      <c r="F24" s="20" t="s">
        <v>75</v>
      </c>
      <c r="G24" s="20" t="s">
        <v>8</v>
      </c>
      <c r="H24" s="20" t="s">
        <v>18</v>
      </c>
      <c r="I24" s="20" t="s">
        <v>75</v>
      </c>
      <c r="J24" s="202" t="s">
        <v>8</v>
      </c>
      <c r="K24" s="203"/>
      <c r="L24" s="21" t="s">
        <v>18</v>
      </c>
      <c r="M24" s="184"/>
      <c r="N24" s="175"/>
      <c r="P24" s="2"/>
      <c r="Q24" s="2"/>
      <c r="S24" s="150">
        <v>1624000</v>
      </c>
      <c r="T24" s="150">
        <v>1074000</v>
      </c>
      <c r="W24" s="4">
        <v>10000000</v>
      </c>
      <c r="X24" s="12">
        <f>X4-1955000</f>
        <v>-1955000</v>
      </c>
      <c r="Y24" s="4">
        <v>10000000</v>
      </c>
      <c r="Z24" s="12">
        <f>X4-1955000</f>
        <v>-1955000</v>
      </c>
    </row>
    <row r="25" spans="1:26" ht="14.25" customHeight="1">
      <c r="A25" s="1"/>
      <c r="B25" s="213"/>
      <c r="C25" s="72" t="s">
        <v>12</v>
      </c>
      <c r="D25" s="22" t="s">
        <v>13</v>
      </c>
      <c r="E25" s="23" t="s">
        <v>19</v>
      </c>
      <c r="F25" s="22" t="s">
        <v>44</v>
      </c>
      <c r="G25" s="22" t="s">
        <v>43</v>
      </c>
      <c r="H25" s="22" t="s">
        <v>45</v>
      </c>
      <c r="I25" s="22" t="s">
        <v>85</v>
      </c>
      <c r="J25" s="204" t="s">
        <v>86</v>
      </c>
      <c r="K25" s="205"/>
      <c r="L25" s="22" t="s">
        <v>87</v>
      </c>
      <c r="M25" s="24" t="s">
        <v>88</v>
      </c>
      <c r="N25" s="176"/>
      <c r="P25" s="2"/>
      <c r="Q25" s="2"/>
      <c r="S25" s="152">
        <v>1628000</v>
      </c>
      <c r="T25" s="152">
        <f>ROUNDDOWN(S3/4000,0)*4000*60/100+100000</f>
        <v>100000</v>
      </c>
      <c r="W25" s="138">
        <v>0</v>
      </c>
      <c r="X25" s="139">
        <f>X5-1100000</f>
        <v>-1100000</v>
      </c>
      <c r="Y25" s="14">
        <v>0</v>
      </c>
      <c r="Z25" s="10">
        <f>X5-600000</f>
        <v>-600000</v>
      </c>
    </row>
    <row r="26" spans="1:26" ht="14.25" customHeight="1">
      <c r="A26" s="1"/>
      <c r="B26" s="82" t="s">
        <v>2</v>
      </c>
      <c r="C26" s="85">
        <f>SUM(M16:M20)</f>
        <v>0</v>
      </c>
      <c r="D26" s="86">
        <f>データ!C3</f>
        <v>0.0756</v>
      </c>
      <c r="E26" s="120">
        <f>ROUNDDOWN(C26*D26,0)</f>
        <v>0</v>
      </c>
      <c r="F26" s="87">
        <f>データ!D3</f>
        <v>30800</v>
      </c>
      <c r="G26" s="88">
        <f>$AI$2-$AI$3</f>
        <v>0</v>
      </c>
      <c r="H26" s="120">
        <f>ROUNDDOWN(F26*G26,0)</f>
        <v>0</v>
      </c>
      <c r="I26" s="87">
        <f>F26/2</f>
        <v>15400</v>
      </c>
      <c r="J26" s="169">
        <f>COUNTIF($C$16:$C$20,"0～5歳")</f>
        <v>0</v>
      </c>
      <c r="K26" s="170"/>
      <c r="L26" s="120">
        <f>ROUNDDOWN($I26*$J26,0)</f>
        <v>0</v>
      </c>
      <c r="M26" s="121">
        <f>ROUNDDOWN(MIN(INT($E26+$H26+$L26),データ!$E3),-2)</f>
        <v>0</v>
      </c>
      <c r="N26" s="164">
        <f>データ!$E3/10000</f>
        <v>65</v>
      </c>
      <c r="P26" s="2"/>
      <c r="Q26" s="2"/>
      <c r="S26" s="152">
        <v>1800000</v>
      </c>
      <c r="T26" s="152">
        <f>ROUNDDOWN(S3/4000,0)*4000*70/100-80000</f>
        <v>-80000</v>
      </c>
      <c r="W26" s="138">
        <v>3300001</v>
      </c>
      <c r="X26" s="139">
        <f>ROUNDDOWN(X5*0.75-275000,0)</f>
        <v>-275000</v>
      </c>
      <c r="Y26" s="14">
        <v>1300001</v>
      </c>
      <c r="Z26" s="137">
        <f>ROUNDDOWN(X5-(X5*0.25+275000),0)</f>
        <v>-275000</v>
      </c>
    </row>
    <row r="27" spans="1:26" ht="14.25" customHeight="1">
      <c r="A27" s="1"/>
      <c r="B27" s="83" t="s">
        <v>25</v>
      </c>
      <c r="C27" s="85">
        <f>SUM(M16:M20)</f>
        <v>0</v>
      </c>
      <c r="D27" s="86">
        <f>データ!C4</f>
        <v>0.0218</v>
      </c>
      <c r="E27" s="120">
        <f>ROUNDDOWN(C27*D27,0)</f>
        <v>0</v>
      </c>
      <c r="F27" s="87">
        <f>データ!D4</f>
        <v>11800</v>
      </c>
      <c r="G27" s="88">
        <f>$G$26</f>
        <v>0</v>
      </c>
      <c r="H27" s="120">
        <f>ROUNDDOWN(F27*G27,0)</f>
        <v>0</v>
      </c>
      <c r="I27" s="87">
        <f>F27/2</f>
        <v>5900</v>
      </c>
      <c r="J27" s="169">
        <f>$J$26</f>
        <v>0</v>
      </c>
      <c r="K27" s="170"/>
      <c r="L27" s="120">
        <f>ROUNDDOWN($I27*$J27,0)</f>
        <v>0</v>
      </c>
      <c r="M27" s="121">
        <f>ROUNDDOWN(MIN(INT($E27+$H27+$L27),データ!$E4),-2)</f>
        <v>0</v>
      </c>
      <c r="N27" s="164">
        <f>データ!$E4/10000</f>
        <v>24</v>
      </c>
      <c r="P27" s="2"/>
      <c r="Q27" s="2"/>
      <c r="S27" s="152">
        <v>3600000</v>
      </c>
      <c r="T27" s="152">
        <f>ROUNDDOWN(S3/4000,0)*4000*80/100-440000</f>
        <v>-440000</v>
      </c>
      <c r="W27" s="138">
        <v>4100000</v>
      </c>
      <c r="X27" s="139">
        <f>ROUNDDOWN(X5*0.85-685000,0)</f>
        <v>-685000</v>
      </c>
      <c r="Y27" s="14">
        <v>4100000</v>
      </c>
      <c r="Z27" s="10">
        <f>ROUNDDOWN(X5-(X5*0.15+685000),0)</f>
        <v>-685000</v>
      </c>
    </row>
    <row r="28" spans="1:26" ht="14.25" customHeight="1">
      <c r="A28" s="1"/>
      <c r="B28" s="83" t="s">
        <v>4</v>
      </c>
      <c r="C28" s="85">
        <f>SUM(AA2:AA6)</f>
        <v>0</v>
      </c>
      <c r="D28" s="86">
        <f>データ!C5</f>
        <v>0.0214</v>
      </c>
      <c r="E28" s="120">
        <f>ROUNDDOWN(C28*D28,0)</f>
        <v>0</v>
      </c>
      <c r="F28" s="87">
        <f>データ!D5</f>
        <v>13700</v>
      </c>
      <c r="G28" s="88">
        <f>COUNTIF($C$16:$C$20,"40～64歳")</f>
        <v>0</v>
      </c>
      <c r="H28" s="120">
        <f>ROUNDDOWN(F28*G28,0)</f>
        <v>0</v>
      </c>
      <c r="I28" s="158">
        <v>0</v>
      </c>
      <c r="J28" s="169">
        <v>0</v>
      </c>
      <c r="K28" s="170"/>
      <c r="L28" s="120">
        <f>ROUNDDOWN($I28*$J28,0)</f>
        <v>0</v>
      </c>
      <c r="M28" s="121">
        <f>ROUNDDOWN(MIN(INT($E28+$H28+$L28),データ!$E5),-2)</f>
        <v>0</v>
      </c>
      <c r="N28" s="164">
        <f>データ!$E5/10000</f>
        <v>17</v>
      </c>
      <c r="P28" s="2"/>
      <c r="Q28" s="2"/>
      <c r="R28" s="10"/>
      <c r="S28" s="152">
        <v>6600000</v>
      </c>
      <c r="T28" s="151">
        <f>(S3*90/100-1100000)</f>
        <v>-1100000</v>
      </c>
      <c r="W28" s="138">
        <v>7700000</v>
      </c>
      <c r="X28" s="139">
        <f>ROUNDDOWN(X5*0.95-1455000,0)</f>
        <v>-1455000</v>
      </c>
      <c r="Y28" s="14">
        <v>7700000</v>
      </c>
      <c r="Z28" s="10">
        <f>ROUNDDOWN(X5-(X5*0.05+1455000),0)</f>
        <v>-1455000</v>
      </c>
    </row>
    <row r="29" spans="1:26" ht="9.75" customHeight="1">
      <c r="A29" s="1"/>
      <c r="B29" s="26"/>
      <c r="C29" s="3"/>
      <c r="D29" s="27">
        <f>IF(J26=0,0,ROUNDDOWN(MIN(INT(E26+L26+K26),データ!G3),0))</f>
        <v>0</v>
      </c>
      <c r="E29" s="27">
        <f>IF(J27=0,0,ROUNDDOWN(MIN(INT(E27+L27+K27),データ!G4),0))</f>
        <v>0</v>
      </c>
      <c r="F29" s="27">
        <f>IF(J28=0,0,ROUNDDOWN(MIN(INT(E28+L28+K28),データ!G5),0))</f>
        <v>0</v>
      </c>
      <c r="G29" s="3"/>
      <c r="H29" s="2"/>
      <c r="I29" s="2"/>
      <c r="J29" s="2"/>
      <c r="K29" s="2"/>
      <c r="L29" s="28"/>
      <c r="M29" s="119"/>
      <c r="N29" s="2"/>
      <c r="O29" s="2"/>
      <c r="P29" s="2"/>
      <c r="Q29" s="2"/>
      <c r="S29" s="152">
        <v>8500000</v>
      </c>
      <c r="T29" s="151">
        <f>S3-1950000</f>
        <v>-1950000</v>
      </c>
      <c r="W29" s="140">
        <v>10000000</v>
      </c>
      <c r="X29" s="141">
        <f>X5-1955000</f>
        <v>-1955000</v>
      </c>
      <c r="Y29" s="4">
        <v>10000000</v>
      </c>
      <c r="Z29" s="12">
        <f>X5-1955000</f>
        <v>-1955000</v>
      </c>
    </row>
    <row r="30" spans="1:38" ht="16.5" customHeight="1">
      <c r="A30" s="1"/>
      <c r="B30" s="4" t="s">
        <v>27</v>
      </c>
      <c r="F30" s="3"/>
      <c r="G30" s="2"/>
      <c r="J30" s="193" t="s">
        <v>64</v>
      </c>
      <c r="K30" s="194"/>
      <c r="L30" s="194"/>
      <c r="M30" s="194"/>
      <c r="N30" s="195"/>
      <c r="O30" s="2"/>
      <c r="P30" s="2"/>
      <c r="Q30" s="2"/>
      <c r="S30" s="152">
        <v>999999999999999</v>
      </c>
      <c r="T30" s="150"/>
      <c r="W30" s="14">
        <v>0</v>
      </c>
      <c r="X30" s="10">
        <f>X6-1100000</f>
        <v>-1100000</v>
      </c>
      <c r="Y30" s="14">
        <v>0</v>
      </c>
      <c r="Z30" s="10">
        <f>X6-600000</f>
        <v>-600000</v>
      </c>
      <c r="AH30" s="32"/>
      <c r="AI30" s="32"/>
      <c r="AJ30" s="32"/>
      <c r="AK30" s="32"/>
      <c r="AL30" s="32"/>
    </row>
    <row r="31" spans="1:38" s="32" customFormat="1" ht="16.5" customHeight="1">
      <c r="A31" s="1"/>
      <c r="B31" s="198" t="s">
        <v>99</v>
      </c>
      <c r="C31" s="198"/>
      <c r="D31" s="198"/>
      <c r="E31" s="198"/>
      <c r="F31" s="198"/>
      <c r="G31" s="198"/>
      <c r="H31" s="198"/>
      <c r="I31" s="198"/>
      <c r="J31" s="185" t="str">
        <f>COUNTA(C16:C21)&amp;"人加入で計算"</f>
        <v>0人加入で計算</v>
      </c>
      <c r="K31" s="186"/>
      <c r="L31" s="186"/>
      <c r="M31" s="186"/>
      <c r="N31" s="187"/>
      <c r="O31" s="2"/>
      <c r="P31" s="2"/>
      <c r="Q31" s="2"/>
      <c r="S31" s="150"/>
      <c r="T31" s="153"/>
      <c r="U31" s="4"/>
      <c r="V31" s="4"/>
      <c r="W31" s="14">
        <v>3300001</v>
      </c>
      <c r="X31" s="10">
        <f>ROUNDDOWN(X6*0.75-275000,0)</f>
        <v>-275000</v>
      </c>
      <c r="Y31" s="14">
        <v>1300001</v>
      </c>
      <c r="Z31" s="137">
        <f>ROUNDDOWN(X6-(X6*0.25+275000),0)</f>
        <v>-275000</v>
      </c>
      <c r="AA31" s="4"/>
      <c r="AB31" s="4"/>
      <c r="AC31" s="4"/>
      <c r="AD31" s="4"/>
      <c r="AH31" s="4"/>
      <c r="AI31" s="4"/>
      <c r="AJ31" s="4"/>
      <c r="AK31" s="4"/>
      <c r="AL31" s="4"/>
    </row>
    <row r="32" spans="1:38" s="32" customFormat="1" ht="16.5" customHeight="1" thickBot="1">
      <c r="A32" s="1"/>
      <c r="B32" s="198"/>
      <c r="C32" s="198"/>
      <c r="D32" s="198"/>
      <c r="E32" s="198"/>
      <c r="F32" s="198"/>
      <c r="G32" s="198"/>
      <c r="H32" s="198"/>
      <c r="I32" s="198"/>
      <c r="J32" s="166"/>
      <c r="K32" s="167"/>
      <c r="L32" s="167"/>
      <c r="M32" s="167"/>
      <c r="N32" s="168"/>
      <c r="O32" s="2"/>
      <c r="P32" s="2"/>
      <c r="Q32" s="2"/>
      <c r="S32" s="150"/>
      <c r="T32" s="153"/>
      <c r="U32" s="4"/>
      <c r="V32" s="4"/>
      <c r="W32" s="14"/>
      <c r="X32" s="10"/>
      <c r="Y32" s="14"/>
      <c r="Z32" s="137"/>
      <c r="AA32" s="4"/>
      <c r="AB32" s="4"/>
      <c r="AC32" s="4"/>
      <c r="AD32" s="4"/>
      <c r="AH32" s="4"/>
      <c r="AI32" s="4"/>
      <c r="AJ32" s="4"/>
      <c r="AK32" s="4"/>
      <c r="AL32" s="4"/>
    </row>
    <row r="33" spans="1:30" ht="16.5" customHeight="1" thickBot="1">
      <c r="A33" s="1"/>
      <c r="B33" s="198"/>
      <c r="C33" s="198"/>
      <c r="D33" s="198"/>
      <c r="E33" s="198"/>
      <c r="F33" s="198"/>
      <c r="G33" s="198"/>
      <c r="H33" s="198"/>
      <c r="I33" s="198"/>
      <c r="J33" s="188" t="s">
        <v>28</v>
      </c>
      <c r="K33" s="189"/>
      <c r="L33" s="189"/>
      <c r="M33" s="91">
        <f>$M26+$M27+$M28</f>
        <v>0</v>
      </c>
      <c r="N33" s="75" t="s">
        <v>48</v>
      </c>
      <c r="O33" s="2"/>
      <c r="P33" s="2"/>
      <c r="Q33" s="31"/>
      <c r="S33" s="154">
        <v>0</v>
      </c>
      <c r="T33" s="155">
        <f>S4-550000</f>
        <v>-550000</v>
      </c>
      <c r="W33" s="14">
        <v>4100000</v>
      </c>
      <c r="X33" s="10">
        <f>ROUNDDOWN(X6*0.85-685000,0)</f>
        <v>-685000</v>
      </c>
      <c r="Y33" s="14">
        <v>4100000</v>
      </c>
      <c r="Z33" s="10">
        <f>ROUNDDOWN(X6-(X6*0.15+685000),0)</f>
        <v>-685000</v>
      </c>
      <c r="AC33" s="32"/>
      <c r="AD33" s="32"/>
    </row>
    <row r="34" spans="1:28" ht="16.5" customHeight="1" thickBot="1">
      <c r="A34" s="1"/>
      <c r="B34" s="198"/>
      <c r="C34" s="198"/>
      <c r="D34" s="198"/>
      <c r="E34" s="198"/>
      <c r="F34" s="198"/>
      <c r="G34" s="198"/>
      <c r="H34" s="198"/>
      <c r="I34" s="198"/>
      <c r="J34" s="190" t="s">
        <v>54</v>
      </c>
      <c r="K34" s="191"/>
      <c r="L34" s="192"/>
      <c r="M34" s="90">
        <f>IF(ISERROR(ROUND($M$33/12,0)),"",ROUND($M$33/12,0))</f>
        <v>0</v>
      </c>
      <c r="N34" s="76"/>
      <c r="O34" s="2"/>
      <c r="P34" s="31"/>
      <c r="Q34" s="2"/>
      <c r="S34" s="154">
        <v>1619000</v>
      </c>
      <c r="T34" s="154">
        <v>1069000</v>
      </c>
      <c r="W34" s="14">
        <v>7700000</v>
      </c>
      <c r="X34" s="10">
        <f>ROUNDDOWN(X6*0.95-1455000,0)</f>
        <v>-1455000</v>
      </c>
      <c r="Y34" s="14">
        <v>7700000</v>
      </c>
      <c r="Z34" s="10">
        <f>ROUNDDOWN(X6-(X6*0.05+1455000),0)</f>
        <v>-1455000</v>
      </c>
      <c r="AA34" s="32"/>
      <c r="AB34" s="32"/>
    </row>
    <row r="35" spans="1:26" ht="16.5" customHeight="1">
      <c r="A35" s="1"/>
      <c r="B35" s="198"/>
      <c r="C35" s="198"/>
      <c r="D35" s="198"/>
      <c r="E35" s="198"/>
      <c r="F35" s="198"/>
      <c r="G35" s="198"/>
      <c r="H35" s="198"/>
      <c r="I35" s="198"/>
      <c r="J35" s="77"/>
      <c r="K35" s="78"/>
      <c r="L35" s="78"/>
      <c r="M35" s="79"/>
      <c r="N35" s="80"/>
      <c r="O35" s="31"/>
      <c r="P35" s="2"/>
      <c r="Q35" s="2"/>
      <c r="S35" s="154">
        <v>1620000</v>
      </c>
      <c r="T35" s="154">
        <v>1070000</v>
      </c>
      <c r="W35" s="4">
        <v>10000000</v>
      </c>
      <c r="X35" s="12">
        <f>X6-1955000</f>
        <v>-1955000</v>
      </c>
      <c r="Y35" s="4">
        <v>10000000</v>
      </c>
      <c r="Z35" s="12">
        <f>X6-1955000</f>
        <v>-1955000</v>
      </c>
    </row>
    <row r="36" spans="1:26" ht="16.5" customHeight="1">
      <c r="A36" s="1"/>
      <c r="B36" s="198"/>
      <c r="C36" s="198"/>
      <c r="D36" s="198"/>
      <c r="E36" s="198"/>
      <c r="F36" s="198"/>
      <c r="G36" s="198"/>
      <c r="H36" s="198"/>
      <c r="I36" s="198"/>
      <c r="J36" s="29"/>
      <c r="K36" s="29"/>
      <c r="L36" s="30"/>
      <c r="M36" s="2"/>
      <c r="N36" s="2"/>
      <c r="O36" s="2"/>
      <c r="P36" s="2"/>
      <c r="Q36" s="2"/>
      <c r="S36" s="154">
        <v>1622000</v>
      </c>
      <c r="T36" s="154">
        <v>1072000</v>
      </c>
      <c r="W36" s="67"/>
      <c r="X36" s="66"/>
      <c r="Y36" s="145"/>
      <c r="Z36" s="143"/>
    </row>
    <row r="37" spans="1:26" ht="15.75">
      <c r="A37" s="34"/>
      <c r="B37" s="198"/>
      <c r="C37" s="198"/>
      <c r="D37" s="198"/>
      <c r="E37" s="198"/>
      <c r="F37" s="198"/>
      <c r="G37" s="198"/>
      <c r="H37" s="198"/>
      <c r="I37" s="198"/>
      <c r="J37" s="193" t="s">
        <v>65</v>
      </c>
      <c r="K37" s="194"/>
      <c r="L37" s="194"/>
      <c r="M37" s="194"/>
      <c r="N37" s="195"/>
      <c r="O37" s="2"/>
      <c r="P37" s="2"/>
      <c r="Q37" s="2"/>
      <c r="S37" s="154">
        <v>1628000</v>
      </c>
      <c r="T37" s="154">
        <v>1074000</v>
      </c>
      <c r="W37" s="67"/>
      <c r="X37" s="66"/>
      <c r="Y37" s="145"/>
      <c r="Z37" s="143"/>
    </row>
    <row r="38" spans="1:26" ht="17.25" customHeight="1" thickBot="1">
      <c r="A38" s="34"/>
      <c r="B38" s="198"/>
      <c r="C38" s="198"/>
      <c r="D38" s="198"/>
      <c r="E38" s="198"/>
      <c r="F38" s="198"/>
      <c r="G38" s="198"/>
      <c r="H38" s="198"/>
      <c r="I38" s="198"/>
      <c r="J38" s="81"/>
      <c r="K38" s="112"/>
      <c r="L38" s="112"/>
      <c r="M38" s="112"/>
      <c r="N38" s="113"/>
      <c r="O38" s="2"/>
      <c r="P38" s="2"/>
      <c r="Q38" s="2"/>
      <c r="S38" s="156">
        <v>1625000</v>
      </c>
      <c r="T38" s="156">
        <f>ROUNDDOWN(S4/4000,0)*4000*60/100+100000</f>
        <v>100000</v>
      </c>
      <c r="W38" s="67"/>
      <c r="X38" s="66"/>
      <c r="Y38" s="145"/>
      <c r="Z38" s="143"/>
    </row>
    <row r="39" spans="1:26" ht="14.25" customHeight="1" thickBot="1">
      <c r="A39" s="34"/>
      <c r="B39" s="4" t="s">
        <v>50</v>
      </c>
      <c r="F39" s="5"/>
      <c r="G39" s="4"/>
      <c r="J39" s="116" t="s">
        <v>26</v>
      </c>
      <c r="K39" s="102" t="s">
        <v>31</v>
      </c>
      <c r="L39" s="117" t="s">
        <v>30</v>
      </c>
      <c r="M39" s="33">
        <f>IF($K$39="","",IF($K$39="４月",$M$33,VLOOKUP($K$39,$AE$2:$AG$13,2,FALSE)))</f>
        <v>0</v>
      </c>
      <c r="N39" s="118">
        <f>IF(K39="",,VLOOKUP(K39,AE2:AG13,3,FALSE))</f>
        <v>12</v>
      </c>
      <c r="O39" s="2"/>
      <c r="P39" s="2"/>
      <c r="Q39" s="2"/>
      <c r="S39" s="156">
        <v>1800000</v>
      </c>
      <c r="T39" s="156">
        <f>ROUNDDOWN(S4/4000,0)*4000*70/100-80000</f>
        <v>-80000</v>
      </c>
      <c r="W39" s="67"/>
      <c r="X39" s="66"/>
      <c r="Y39" s="145"/>
      <c r="Z39" s="143"/>
    </row>
    <row r="40" spans="1:26" ht="14.25" customHeight="1">
      <c r="A40" s="34"/>
      <c r="B40" s="35" t="s">
        <v>76</v>
      </c>
      <c r="F40" s="5"/>
      <c r="G40" s="4"/>
      <c r="J40" s="114"/>
      <c r="K40" s="115"/>
      <c r="L40" s="115"/>
      <c r="M40" s="115"/>
      <c r="N40" s="80"/>
      <c r="O40" s="2"/>
      <c r="P40" s="2"/>
      <c r="Q40" s="2"/>
      <c r="S40" s="156">
        <v>3600000</v>
      </c>
      <c r="T40" s="156">
        <f>ROUNDDOWN(S4/4000,0)*4000*80/100-440000</f>
        <v>-440000</v>
      </c>
      <c r="W40" s="65"/>
      <c r="X40" s="142"/>
      <c r="Y40" s="146"/>
      <c r="Z40" s="144"/>
    </row>
    <row r="41" spans="1:20" ht="14.25" customHeight="1">
      <c r="A41" s="34"/>
      <c r="B41" s="4" t="s">
        <v>29</v>
      </c>
      <c r="D41" s="36"/>
      <c r="F41" s="5"/>
      <c r="G41" s="4"/>
      <c r="K41" s="2"/>
      <c r="L41" s="2"/>
      <c r="M41" s="2"/>
      <c r="N41" s="2"/>
      <c r="O41" s="2"/>
      <c r="P41" s="2"/>
      <c r="Q41" s="2"/>
      <c r="S41" s="156">
        <v>6600000</v>
      </c>
      <c r="T41" s="155">
        <f>(S4*90/100-1100000)</f>
        <v>-1100000</v>
      </c>
    </row>
    <row r="42" spans="1:20" ht="14.25" customHeight="1">
      <c r="A42" s="34"/>
      <c r="B42" s="4" t="s">
        <v>62</v>
      </c>
      <c r="F42" s="36"/>
      <c r="G42" s="4"/>
      <c r="O42" s="2"/>
      <c r="P42" s="2"/>
      <c r="Q42" s="2"/>
      <c r="S42" s="156">
        <v>8500000</v>
      </c>
      <c r="T42" s="155">
        <f>S4-1950000</f>
        <v>-1950000</v>
      </c>
    </row>
    <row r="43" spans="1:20" ht="15.75">
      <c r="A43" s="34"/>
      <c r="B43" s="4" t="s">
        <v>96</v>
      </c>
      <c r="F43" s="5"/>
      <c r="G43" s="4"/>
      <c r="I43" s="196" t="s">
        <v>79</v>
      </c>
      <c r="J43" s="197"/>
      <c r="K43" s="197"/>
      <c r="L43" s="197"/>
      <c r="M43" s="197"/>
      <c r="N43" s="197"/>
      <c r="O43" s="2"/>
      <c r="P43" s="2"/>
      <c r="Q43" s="2"/>
      <c r="S43" s="156">
        <v>999999999999999</v>
      </c>
      <c r="T43" s="154"/>
    </row>
    <row r="44" spans="1:22" ht="15.75">
      <c r="A44" s="34"/>
      <c r="B44" s="4" t="s">
        <v>97</v>
      </c>
      <c r="F44" s="5"/>
      <c r="G44" s="4"/>
      <c r="K44" s="2"/>
      <c r="L44" s="2"/>
      <c r="M44" s="2"/>
      <c r="N44" s="2"/>
      <c r="O44" s="2"/>
      <c r="P44" s="2"/>
      <c r="Q44" s="2"/>
      <c r="S44" s="1"/>
      <c r="T44" s="137"/>
      <c r="U44" s="32"/>
      <c r="V44" s="32"/>
    </row>
    <row r="45" spans="1:20" ht="15.75">
      <c r="A45" s="34"/>
      <c r="F45" s="5"/>
      <c r="G45" s="4"/>
      <c r="K45" s="2"/>
      <c r="L45" s="2"/>
      <c r="M45" s="2"/>
      <c r="N45" s="2"/>
      <c r="O45" s="2"/>
      <c r="P45" s="2"/>
      <c r="Q45" s="2"/>
      <c r="S45" s="65">
        <v>0</v>
      </c>
      <c r="T45" s="157">
        <f>S5-550000</f>
        <v>-550000</v>
      </c>
    </row>
    <row r="46" spans="1:20" ht="15.75">
      <c r="A46" s="34"/>
      <c r="F46" s="5"/>
      <c r="G46" s="4"/>
      <c r="I46" s="29"/>
      <c r="K46" s="2"/>
      <c r="L46" s="2"/>
      <c r="M46" s="2"/>
      <c r="N46" s="2"/>
      <c r="O46" s="2"/>
      <c r="P46" s="2"/>
      <c r="Q46" s="2"/>
      <c r="S46" s="65">
        <v>1619000</v>
      </c>
      <c r="T46" s="65">
        <v>1069000</v>
      </c>
    </row>
    <row r="47" spans="1:20" ht="15.75">
      <c r="A47" s="34"/>
      <c r="K47" s="2"/>
      <c r="L47" s="2"/>
      <c r="M47" s="2"/>
      <c r="N47" s="2"/>
      <c r="O47" s="2"/>
      <c r="P47" s="2"/>
      <c r="Q47" s="2"/>
      <c r="S47" s="65">
        <v>1620000</v>
      </c>
      <c r="T47" s="65">
        <v>1070000</v>
      </c>
    </row>
    <row r="48" spans="1:20" ht="19.5">
      <c r="A48" s="1"/>
      <c r="B48" s="26"/>
      <c r="K48" s="3"/>
      <c r="L48" s="37"/>
      <c r="M48" s="2"/>
      <c r="N48" s="2"/>
      <c r="O48" s="2"/>
      <c r="P48" s="2"/>
      <c r="Q48" s="2"/>
      <c r="S48" s="65">
        <v>1622000</v>
      </c>
      <c r="T48" s="65">
        <v>1072000</v>
      </c>
    </row>
    <row r="49" spans="2:20" ht="19.5">
      <c r="B49" s="26"/>
      <c r="M49" s="2"/>
      <c r="N49" s="2"/>
      <c r="O49" s="2"/>
      <c r="P49" s="2"/>
      <c r="Q49" s="2"/>
      <c r="R49" s="10"/>
      <c r="S49" s="65">
        <v>1624000</v>
      </c>
      <c r="T49" s="65">
        <v>1074000</v>
      </c>
    </row>
    <row r="50" spans="2:20" ht="19.5">
      <c r="B50" s="26"/>
      <c r="L50" s="2"/>
      <c r="M50" s="2"/>
      <c r="N50" s="2"/>
      <c r="O50" s="2"/>
      <c r="P50" s="2"/>
      <c r="Q50" s="2"/>
      <c r="S50" s="67">
        <v>1628000</v>
      </c>
      <c r="T50" s="67">
        <f>ROUNDDOWN(S5/4000,0)*4000*60/100+100000</f>
        <v>100000</v>
      </c>
    </row>
    <row r="51" spans="2:20" ht="19.5">
      <c r="B51" s="26"/>
      <c r="L51" s="2"/>
      <c r="M51" s="2"/>
      <c r="N51" s="2"/>
      <c r="O51" s="2"/>
      <c r="P51" s="2"/>
      <c r="Q51" s="2"/>
      <c r="S51" s="67">
        <v>1800000</v>
      </c>
      <c r="T51" s="67">
        <f>ROUNDDOWN(S5/4000,0)*4000*70/100-80000</f>
        <v>-80000</v>
      </c>
    </row>
    <row r="52" spans="2:20" ht="15.75">
      <c r="B52" s="2"/>
      <c r="L52" s="2"/>
      <c r="M52" s="2"/>
      <c r="N52" s="2"/>
      <c r="O52" s="2"/>
      <c r="P52" s="2"/>
      <c r="Q52" s="2"/>
      <c r="S52" s="67">
        <v>3600000</v>
      </c>
      <c r="T52" s="67">
        <f>ROUNDDOWN(S5/4000,0)*4000*80/100-440000</f>
        <v>-440000</v>
      </c>
    </row>
    <row r="53" spans="2:20" ht="15.75">
      <c r="B53" s="2"/>
      <c r="L53" s="17"/>
      <c r="M53" s="2"/>
      <c r="N53" s="2"/>
      <c r="O53" s="2"/>
      <c r="P53" s="2"/>
      <c r="Q53" s="2"/>
      <c r="S53" s="67">
        <v>6600000</v>
      </c>
      <c r="T53" s="157">
        <f>(S5*90/100-1100000)</f>
        <v>-1100000</v>
      </c>
    </row>
    <row r="54" spans="2:20" ht="15.75">
      <c r="B54" s="2"/>
      <c r="L54" s="2"/>
      <c r="M54" s="2"/>
      <c r="N54" s="2"/>
      <c r="O54" s="2"/>
      <c r="P54" s="2"/>
      <c r="Q54" s="16"/>
      <c r="S54" s="67">
        <v>8500000</v>
      </c>
      <c r="T54" s="157">
        <f>S5-1950000</f>
        <v>-1950000</v>
      </c>
    </row>
    <row r="55" spans="2:20" ht="15.75">
      <c r="B55" s="31"/>
      <c r="L55" s="17"/>
      <c r="M55" s="2"/>
      <c r="N55" s="2"/>
      <c r="O55" s="2"/>
      <c r="P55" s="16"/>
      <c r="Q55" s="2"/>
      <c r="S55" s="67">
        <v>999999999999999</v>
      </c>
      <c r="T55" s="65"/>
    </row>
    <row r="56" spans="2:18" ht="19.5">
      <c r="B56" s="26"/>
      <c r="L56" s="17"/>
      <c r="M56" s="31"/>
      <c r="N56" s="16"/>
      <c r="O56" s="16"/>
      <c r="P56" s="2"/>
      <c r="Q56" s="2"/>
      <c r="R56" s="41"/>
    </row>
    <row r="57" spans="2:20" ht="19.5">
      <c r="B57" s="26"/>
      <c r="L57" s="16"/>
      <c r="M57" s="2"/>
      <c r="N57" s="2"/>
      <c r="O57" s="2"/>
      <c r="P57" s="2"/>
      <c r="Q57" s="2"/>
      <c r="S57" s="4">
        <v>0</v>
      </c>
      <c r="T57" s="136">
        <f>S6-550000</f>
        <v>-550000</v>
      </c>
    </row>
    <row r="58" spans="2:20" ht="15.75">
      <c r="B58" s="2"/>
      <c r="L58" s="38"/>
      <c r="M58" s="2"/>
      <c r="N58" s="2"/>
      <c r="O58" s="2"/>
      <c r="P58" s="2"/>
      <c r="Q58" s="2"/>
      <c r="R58" s="41"/>
      <c r="S58" s="4">
        <v>1619000</v>
      </c>
      <c r="T58" s="4">
        <v>1069000</v>
      </c>
    </row>
    <row r="59" spans="2:20" ht="19.5">
      <c r="B59" s="26"/>
      <c r="L59" s="39"/>
      <c r="M59" s="2"/>
      <c r="N59" s="2"/>
      <c r="O59" s="2"/>
      <c r="P59" s="2"/>
      <c r="Q59" s="2"/>
      <c r="S59" s="4">
        <v>1620000</v>
      </c>
      <c r="T59" s="4">
        <v>1070000</v>
      </c>
    </row>
    <row r="60" spans="2:20" ht="19.5">
      <c r="B60" s="26"/>
      <c r="L60" s="40"/>
      <c r="M60" s="2"/>
      <c r="N60" s="2"/>
      <c r="O60" s="2"/>
      <c r="P60" s="2"/>
      <c r="Q60" s="2"/>
      <c r="R60" s="41"/>
      <c r="S60" s="4">
        <v>1622000</v>
      </c>
      <c r="T60" s="4">
        <v>1072000</v>
      </c>
    </row>
    <row r="61" spans="2:20" ht="19.5">
      <c r="B61" s="26"/>
      <c r="L61" s="2"/>
      <c r="M61" s="2"/>
      <c r="N61" s="2"/>
      <c r="O61" s="2"/>
      <c r="P61" s="2"/>
      <c r="Q61" s="2"/>
      <c r="S61" s="4">
        <v>1624000</v>
      </c>
      <c r="T61" s="4">
        <v>1074000</v>
      </c>
    </row>
    <row r="62" spans="2:20" ht="19.5">
      <c r="B62" s="26"/>
      <c r="L62" s="2"/>
      <c r="M62" s="2"/>
      <c r="N62" s="2"/>
      <c r="O62" s="2"/>
      <c r="P62" s="2"/>
      <c r="Q62" s="2"/>
      <c r="R62" s="41"/>
      <c r="S62" s="14">
        <v>1628000</v>
      </c>
      <c r="T62" s="14">
        <f>ROUNDDOWN(S6/4000,0)*4000*60/100+100000</f>
        <v>100000</v>
      </c>
    </row>
    <row r="63" spans="2:20" ht="19.5">
      <c r="B63" s="26"/>
      <c r="L63" s="2"/>
      <c r="M63" s="2"/>
      <c r="N63" s="2"/>
      <c r="O63" s="2"/>
      <c r="P63" s="2"/>
      <c r="Q63" s="2"/>
      <c r="S63" s="14">
        <v>1800000</v>
      </c>
      <c r="T63" s="14">
        <f>ROUNDDOWN(S6/4000,0)*4000*70/100-80000</f>
        <v>-80000</v>
      </c>
    </row>
    <row r="64" spans="2:20" ht="15.75">
      <c r="B64" s="2"/>
      <c r="L64" s="2"/>
      <c r="M64" s="2"/>
      <c r="N64" s="2"/>
      <c r="O64" s="2"/>
      <c r="P64" s="2"/>
      <c r="Q64" s="2"/>
      <c r="S64" s="14">
        <v>3600000</v>
      </c>
      <c r="T64" s="14">
        <f>ROUNDDOWN(S6/4000,0)*4000*80/100-440000</f>
        <v>-440000</v>
      </c>
    </row>
    <row r="65" spans="2:20" ht="15.75">
      <c r="B65" s="2"/>
      <c r="L65" s="2"/>
      <c r="M65" s="2"/>
      <c r="N65" s="2"/>
      <c r="O65" s="2"/>
      <c r="P65" s="2"/>
      <c r="S65" s="14">
        <v>6600000</v>
      </c>
      <c r="T65" s="136">
        <f>(S6*90/100-1100000)</f>
        <v>-1100000</v>
      </c>
    </row>
    <row r="66" spans="2:20" ht="15.75">
      <c r="B66" s="2"/>
      <c r="L66" s="17"/>
      <c r="M66" s="2"/>
      <c r="N66" s="2"/>
      <c r="O66" s="2"/>
      <c r="S66" s="14">
        <v>8500000</v>
      </c>
      <c r="T66" s="136">
        <f>S6-1950000</f>
        <v>-1950000</v>
      </c>
    </row>
    <row r="67" spans="2:19" ht="15.75">
      <c r="B67" s="2"/>
      <c r="L67" s="2"/>
      <c r="M67" s="2"/>
      <c r="S67" s="14">
        <v>999999999999999</v>
      </c>
    </row>
    <row r="68" spans="2:20" ht="15.75">
      <c r="B68" s="2"/>
      <c r="L68" s="17"/>
      <c r="M68" s="2"/>
      <c r="S68" s="1"/>
      <c r="T68" s="63"/>
    </row>
    <row r="69" spans="2:20" ht="15.75">
      <c r="B69" s="2"/>
      <c r="L69" s="17"/>
      <c r="M69" s="16"/>
      <c r="S69" s="65"/>
      <c r="T69" s="66"/>
    </row>
    <row r="70" spans="2:20" ht="15.75">
      <c r="B70" s="2"/>
      <c r="L70" s="16"/>
      <c r="M70" s="2"/>
      <c r="S70" s="65"/>
      <c r="T70" s="66"/>
    </row>
    <row r="71" spans="2:20" ht="15.75">
      <c r="B71" s="2"/>
      <c r="L71" s="38"/>
      <c r="M71" s="2"/>
      <c r="S71" s="65">
        <v>1800000</v>
      </c>
      <c r="T71" s="66">
        <f>S7-(S7*30/100+80000)</f>
        <v>-80000</v>
      </c>
    </row>
    <row r="72" spans="2:20" ht="15.75">
      <c r="B72" s="2"/>
      <c r="L72" s="2"/>
      <c r="M72" s="2"/>
      <c r="S72" s="65">
        <v>3600000</v>
      </c>
      <c r="T72" s="66">
        <f>S7-(S7*20/100+440000)</f>
        <v>-440000</v>
      </c>
    </row>
    <row r="73" spans="2:20" ht="15.75">
      <c r="B73" s="2"/>
      <c r="L73" s="2"/>
      <c r="M73" s="2"/>
      <c r="S73" s="65">
        <v>6600000</v>
      </c>
      <c r="T73" s="66">
        <f>S7-(S7*10/100+1100000)</f>
        <v>-1100000</v>
      </c>
    </row>
    <row r="74" spans="2:20" ht="15.75">
      <c r="B74" s="2"/>
      <c r="L74" s="2"/>
      <c r="M74" s="2"/>
      <c r="S74" s="65">
        <v>8500000</v>
      </c>
      <c r="T74" s="66">
        <f>S7-1950000</f>
        <v>-1950000</v>
      </c>
    </row>
    <row r="75" spans="2:20" ht="15.75">
      <c r="B75" s="2"/>
      <c r="L75" s="2"/>
      <c r="M75" s="2"/>
      <c r="S75" s="65">
        <v>999999999999999</v>
      </c>
      <c r="T75" s="66"/>
    </row>
    <row r="76" spans="2:20" ht="15.75">
      <c r="B76" s="2"/>
      <c r="L76" s="2"/>
      <c r="M76" s="2"/>
      <c r="S76" s="65"/>
      <c r="T76" s="66"/>
    </row>
    <row r="77" spans="2:20" ht="15.75">
      <c r="B77" s="2"/>
      <c r="L77" s="2"/>
      <c r="M77" s="2"/>
      <c r="S77" s="65"/>
      <c r="T77" s="66"/>
    </row>
    <row r="78" spans="2:20" ht="15.75">
      <c r="B78" s="2"/>
      <c r="L78" s="2"/>
      <c r="M78" s="2"/>
      <c r="S78" s="65"/>
      <c r="T78" s="66"/>
    </row>
    <row r="79" spans="2:20" ht="15.75">
      <c r="B79" s="2"/>
      <c r="L79" s="40"/>
      <c r="M79" s="2"/>
      <c r="S79" s="65"/>
      <c r="T79" s="66"/>
    </row>
    <row r="80" spans="12:20" ht="15.75">
      <c r="L80" s="2"/>
      <c r="S80" s="65"/>
      <c r="T80" s="66"/>
    </row>
  </sheetData>
  <sheetProtection/>
  <mergeCells count="36">
    <mergeCell ref="M21:N21"/>
    <mergeCell ref="J21:K21"/>
    <mergeCell ref="B23:B25"/>
    <mergeCell ref="C23:E23"/>
    <mergeCell ref="F23:H23"/>
    <mergeCell ref="B1:E1"/>
    <mergeCell ref="B14:C14"/>
    <mergeCell ref="B15:C15"/>
    <mergeCell ref="J15:K15"/>
    <mergeCell ref="J16:K16"/>
    <mergeCell ref="J30:N30"/>
    <mergeCell ref="D14:N14"/>
    <mergeCell ref="J24:K24"/>
    <mergeCell ref="J25:K25"/>
    <mergeCell ref="J26:K26"/>
    <mergeCell ref="J27:K27"/>
    <mergeCell ref="J17:K17"/>
    <mergeCell ref="J18:K18"/>
    <mergeCell ref="J19:K19"/>
    <mergeCell ref="J20:K20"/>
    <mergeCell ref="J31:N31"/>
    <mergeCell ref="J33:L33"/>
    <mergeCell ref="J34:L34"/>
    <mergeCell ref="J37:N37"/>
    <mergeCell ref="I43:N43"/>
    <mergeCell ref="B31:I38"/>
    <mergeCell ref="J28:K28"/>
    <mergeCell ref="I23:L23"/>
    <mergeCell ref="N23:N25"/>
    <mergeCell ref="M15:N15"/>
    <mergeCell ref="M16:N16"/>
    <mergeCell ref="M17:N17"/>
    <mergeCell ref="M18:N18"/>
    <mergeCell ref="M19:N19"/>
    <mergeCell ref="M20:N20"/>
    <mergeCell ref="M23:M24"/>
  </mergeCells>
  <conditionalFormatting sqref="M34">
    <cfRule type="cellIs" priority="5" dxfId="3" operator="equal" stopIfTrue="1">
      <formula>3300</formula>
    </cfRule>
  </conditionalFormatting>
  <conditionalFormatting sqref="N39">
    <cfRule type="cellIs" priority="6" dxfId="3" operator="equal" stopIfTrue="1">
      <formula>0</formula>
    </cfRule>
  </conditionalFormatting>
  <conditionalFormatting sqref="M26:M28">
    <cfRule type="cellIs" priority="1" dxfId="4" operator="equal" stopIfTrue="1">
      <formula>510000</formula>
    </cfRule>
  </conditionalFormatting>
  <dataValidations count="4">
    <dataValidation type="list" allowBlank="1" showInputMessage="1" showErrorMessage="1" sqref="C21">
      <formula1>$AC$2:$AC$4</formula1>
    </dataValidation>
    <dataValidation allowBlank="1" showInputMessage="1" showErrorMessage="1" imeMode="off" sqref="F1 F16:F21 J16:J21 H16:H21 L16:M21"/>
    <dataValidation type="list" allowBlank="1" showInputMessage="1" showErrorMessage="1" sqref="K39">
      <formula1>$AE$2:$AE$13</formula1>
    </dataValidation>
    <dataValidation type="list" allowBlank="1" showInputMessage="1" showErrorMessage="1" sqref="C16:C20">
      <formula1>$AC$2:$AC$5</formula1>
    </dataValidation>
  </dataValidations>
  <printOptions/>
  <pageMargins left="0.2362204724409449" right="0.2362204724409449" top="0.15748031496062992" bottom="0.15748031496062992" header="0.11811023622047245" footer="0.31496062992125984"/>
  <pageSetup fitToHeight="1" fitToWidth="1" horizontalDpi="300" verticalDpi="300" orientation="landscape" paperSize="9" scale="89" r:id="rId2"/>
  <headerFooter alignWithMargins="0">
    <oddHeader xml:space="preserve">&amp;R&amp;D &amp;  作成  </oddHeader>
  </headerFooter>
  <rowBreaks count="1" manualBreakCount="1">
    <brk id="5" max="255" man="1"/>
  </rowBreaks>
  <colBreaks count="1" manualBreakCount="1">
    <brk id="15" max="65535" man="1"/>
  </colBreaks>
  <legacyDrawing r:id="rId1"/>
</worksheet>
</file>

<file path=xl/worksheets/sheet2.xml><?xml version="1.0" encoding="utf-8"?>
<worksheet xmlns="http://schemas.openxmlformats.org/spreadsheetml/2006/main" xmlns:r="http://schemas.openxmlformats.org/officeDocument/2006/relationships">
  <sheetPr codeName="Sheet1"/>
  <dimension ref="B2:J13"/>
  <sheetViews>
    <sheetView showGridLines="0" zoomScalePageLayoutView="0" workbookViewId="0" topLeftCell="A1">
      <selection activeCell="D8" sqref="D8"/>
    </sheetView>
  </sheetViews>
  <sheetFormatPr defaultColWidth="9.00390625" defaultRowHeight="13.5"/>
  <cols>
    <col min="1" max="1" width="2.625" style="36" customWidth="1"/>
    <col min="2" max="2" width="18.375" style="36" customWidth="1"/>
    <col min="3" max="6" width="12.625" style="36" customWidth="1"/>
    <col min="7" max="7" width="9.75390625" style="36" bestFit="1" customWidth="1"/>
    <col min="8" max="16384" width="9.00390625" style="36" customWidth="1"/>
  </cols>
  <sheetData>
    <row r="2" spans="2:9" s="47" customFormat="1" ht="19.5" customHeight="1">
      <c r="B2" s="134">
        <v>6</v>
      </c>
      <c r="C2" s="44" t="s">
        <v>0</v>
      </c>
      <c r="D2" s="44" t="s">
        <v>78</v>
      </c>
      <c r="E2" s="44" t="s">
        <v>1</v>
      </c>
      <c r="F2" s="122"/>
      <c r="G2" s="123"/>
      <c r="H2" s="45"/>
      <c r="I2" s="46"/>
    </row>
    <row r="3" spans="2:8" ht="19.5" customHeight="1">
      <c r="B3" s="48" t="s">
        <v>2</v>
      </c>
      <c r="C3" s="49">
        <v>0.0756</v>
      </c>
      <c r="D3" s="50">
        <v>30800</v>
      </c>
      <c r="E3" s="50">
        <v>650000</v>
      </c>
      <c r="F3" s="124"/>
      <c r="G3" s="125"/>
      <c r="H3" s="51"/>
    </row>
    <row r="4" spans="2:8" ht="19.5" customHeight="1">
      <c r="B4" s="48" t="s">
        <v>3</v>
      </c>
      <c r="C4" s="49">
        <v>0.0218</v>
      </c>
      <c r="D4" s="50">
        <v>11800</v>
      </c>
      <c r="E4" s="50">
        <v>240000</v>
      </c>
      <c r="F4" s="124"/>
      <c r="G4" s="125"/>
      <c r="H4" s="51"/>
    </row>
    <row r="5" spans="2:8" ht="19.5" customHeight="1">
      <c r="B5" s="48" t="s">
        <v>4</v>
      </c>
      <c r="C5" s="49">
        <v>0.0214</v>
      </c>
      <c r="D5" s="50">
        <v>13700</v>
      </c>
      <c r="E5" s="50">
        <v>170000</v>
      </c>
      <c r="F5" s="124"/>
      <c r="G5" s="125"/>
      <c r="H5" s="51"/>
    </row>
    <row r="7" spans="2:4" ht="15.75">
      <c r="B7" s="52"/>
      <c r="D7" s="36" t="s">
        <v>14</v>
      </c>
    </row>
    <row r="8" spans="2:4" ht="19.5" customHeight="1">
      <c r="B8" s="53"/>
      <c r="D8" s="54">
        <v>430000</v>
      </c>
    </row>
    <row r="9" ht="15.75">
      <c r="B9" s="55"/>
    </row>
    <row r="10" spans="2:6" ht="48" customHeight="1">
      <c r="B10" s="225" t="s">
        <v>15</v>
      </c>
      <c r="C10" s="225"/>
      <c r="D10" s="225"/>
      <c r="E10" s="225"/>
      <c r="F10" s="225"/>
    </row>
    <row r="11" spans="2:10" ht="15.75">
      <c r="B11" s="36" t="s">
        <v>16</v>
      </c>
      <c r="J11" s="47"/>
    </row>
    <row r="12" ht="15.75">
      <c r="B12" s="36" t="s">
        <v>20</v>
      </c>
    </row>
    <row r="13" ht="15.75">
      <c r="B13" s="36" t="s">
        <v>17</v>
      </c>
    </row>
  </sheetData>
  <sheetProtection password="82E7" sheet="1"/>
  <mergeCells count="1">
    <mergeCell ref="B10:F10"/>
  </mergeCells>
  <dataValidations count="1">
    <dataValidation allowBlank="1" showInputMessage="1" showErrorMessage="1" imeMode="off" sqref="B2 C3:G5"/>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kokuho</dc:creator>
  <cp:keywords/>
  <dc:description/>
  <cp:lastModifiedBy>Administrator</cp:lastModifiedBy>
  <cp:lastPrinted>2023-03-28T05:38:43Z</cp:lastPrinted>
  <dcterms:created xsi:type="dcterms:W3CDTF">2009-05-12T02:24:18Z</dcterms:created>
  <dcterms:modified xsi:type="dcterms:W3CDTF">2024-03-25T07:36:36Z</dcterms:modified>
  <cp:category/>
  <cp:version/>
  <cp:contentType/>
  <cp:contentStatus/>
</cp:coreProperties>
</file>