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\\W577SV2K19-01\app\業務共有\ふじみ野市水道サービスセンター\社員フォルダ\小柴\"/>
    </mc:Choice>
  </mc:AlternateContent>
  <xr:revisionPtr revIDLastSave="0" documentId="13_ncr:1_{CE0F93D5-3969-4987-A035-753ABEB214CE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計算表" sheetId="1" r:id="rId1"/>
    <sheet name="シミュレーター" sheetId="2" r:id="rId2"/>
  </sheets>
  <definedNames>
    <definedName name="koukei">計算表!$F$14:$F$22</definedName>
    <definedName name="suidou">計算表!$F$14:$N$24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B3" i="1"/>
  <c r="C3" i="1"/>
  <c r="R16" i="2" l="1"/>
  <c r="J18" i="2" s="1"/>
  <c r="S16" i="2"/>
  <c r="R3" i="2"/>
  <c r="J11" i="2" s="1"/>
  <c r="K11" i="2" s="1"/>
  <c r="S3" i="2"/>
  <c r="L11" i="2" l="1"/>
  <c r="N2" i="1"/>
  <c r="A3" i="1"/>
  <c r="G9" i="1" s="1"/>
  <c r="N9" i="1" l="1"/>
  <c r="O23" i="2" s="1"/>
  <c r="M9" i="1"/>
  <c r="O22" i="2" s="1"/>
  <c r="L9" i="1"/>
  <c r="O21" i="2" s="1"/>
  <c r="K9" i="1"/>
  <c r="O20" i="2" s="1"/>
  <c r="J9" i="1"/>
  <c r="O19" i="2" s="1"/>
  <c r="I9" i="1"/>
  <c r="O18" i="2" s="1"/>
  <c r="H9" i="1"/>
  <c r="N3" i="1"/>
  <c r="R11" i="2" s="1"/>
  <c r="G4" i="1"/>
  <c r="L2" i="1"/>
  <c r="K2" i="1"/>
  <c r="M8" i="2" s="1"/>
  <c r="J9" i="2" s="1"/>
  <c r="J2" i="1"/>
  <c r="M7" i="2" s="1"/>
  <c r="J8" i="2" s="1"/>
  <c r="I2" i="1"/>
  <c r="M6" i="2" s="1"/>
  <c r="J7" i="2" s="1"/>
  <c r="H2" i="1"/>
  <c r="M5" i="2" s="1"/>
  <c r="J6" i="2" s="1"/>
  <c r="N8" i="1"/>
  <c r="R23" i="2" s="1"/>
  <c r="M7" i="1"/>
  <c r="L7" i="1"/>
  <c r="M21" i="2" s="1"/>
  <c r="J22" i="2" s="1"/>
  <c r="K7" i="1"/>
  <c r="M20" i="2" s="1"/>
  <c r="J21" i="2" s="1"/>
  <c r="J7" i="1"/>
  <c r="M19" i="2" s="1"/>
  <c r="J20" i="2" s="1"/>
  <c r="I7" i="1"/>
  <c r="M18" i="2" s="1"/>
  <c r="J19" i="2" s="1"/>
  <c r="H7" i="1"/>
  <c r="H8" i="1" s="1"/>
  <c r="U16" i="2" l="1"/>
  <c r="U3" i="2"/>
  <c r="T11" i="2"/>
  <c r="S11" i="2"/>
  <c r="N7" i="1"/>
  <c r="M22" i="2"/>
  <c r="J23" i="2" s="1"/>
  <c r="M3" i="1"/>
  <c r="R10" i="2" s="1"/>
  <c r="M9" i="2"/>
  <c r="J10" i="2" s="1"/>
  <c r="M2" i="1"/>
  <c r="H10" i="1"/>
  <c r="N10" i="1"/>
  <c r="U23" i="2" s="1"/>
  <c r="L8" i="1"/>
  <c r="J8" i="1"/>
  <c r="K8" i="1"/>
  <c r="I8" i="1"/>
  <c r="R18" i="2" s="1"/>
  <c r="M8" i="1"/>
  <c r="L10" i="1" l="1"/>
  <c r="U21" i="2" s="1"/>
  <c r="R21" i="2"/>
  <c r="K10" i="1"/>
  <c r="U20" i="2" s="1"/>
  <c r="R20" i="2"/>
  <c r="M10" i="1"/>
  <c r="U22" i="2" s="1"/>
  <c r="R22" i="2"/>
  <c r="J10" i="1"/>
  <c r="U19" i="2" s="1"/>
  <c r="R19" i="2"/>
  <c r="I10" i="1"/>
  <c r="U18" i="2" s="1"/>
  <c r="N4" i="1"/>
  <c r="O11" i="2" s="1"/>
  <c r="M4" i="1"/>
  <c r="O10" i="2" s="1"/>
  <c r="L4" i="1"/>
  <c r="O9" i="2" s="1"/>
  <c r="K4" i="1"/>
  <c r="O8" i="2" s="1"/>
  <c r="J4" i="1"/>
  <c r="O7" i="2" s="1"/>
  <c r="I4" i="1"/>
  <c r="O6" i="2" s="1"/>
  <c r="H4" i="1"/>
  <c r="O5" i="2" s="1"/>
  <c r="K3" i="1"/>
  <c r="R8" i="2" s="1"/>
  <c r="Q11" i="2" l="1"/>
  <c r="P11" i="2"/>
  <c r="G10" i="1"/>
  <c r="M5" i="1"/>
  <c r="U10" i="2" s="1"/>
  <c r="L3" i="1"/>
  <c r="I3" i="1"/>
  <c r="H3" i="1"/>
  <c r="J3" i="1"/>
  <c r="N5" i="1"/>
  <c r="U11" i="2" s="1"/>
  <c r="V11" i="2" s="1"/>
  <c r="K5" i="1"/>
  <c r="U8" i="2" s="1"/>
  <c r="G8" i="1" l="1"/>
  <c r="U24" i="2"/>
  <c r="H5" i="1"/>
  <c r="U5" i="2" s="1"/>
  <c r="R5" i="2"/>
  <c r="J5" i="1"/>
  <c r="U7" i="2" s="1"/>
  <c r="R7" i="2"/>
  <c r="I5" i="1"/>
  <c r="U6" i="2" s="1"/>
  <c r="R6" i="2"/>
  <c r="L5" i="1"/>
  <c r="U9" i="2" s="1"/>
  <c r="R9" i="2"/>
  <c r="C8" i="1" l="1"/>
  <c r="U25" i="2"/>
  <c r="G5" i="1"/>
  <c r="G3" i="1" s="1"/>
  <c r="E7" i="2" l="1"/>
  <c r="E30" i="2"/>
  <c r="C9" i="1"/>
  <c r="C10" i="1" s="1"/>
  <c r="U12" i="2"/>
  <c r="C5" i="1"/>
  <c r="U13" i="2"/>
  <c r="E27" i="2" l="1"/>
  <c r="C6" i="1"/>
  <c r="E28" i="2" s="1"/>
  <c r="E32" i="2"/>
  <c r="E31" i="2"/>
  <c r="E6" i="2"/>
  <c r="E34" i="2" l="1"/>
  <c r="C7" i="1"/>
  <c r="E29" i="2" s="1"/>
  <c r="E33" i="2" s="1"/>
  <c r="C12" i="1"/>
  <c r="C11" i="1" l="1"/>
  <c r="E9" i="2" s="1"/>
</calcChain>
</file>

<file path=xl/sharedStrings.xml><?xml version="1.0" encoding="utf-8"?>
<sst xmlns="http://schemas.openxmlformats.org/spreadsheetml/2006/main" count="232" uniqueCount="96">
  <si>
    <t>ふじみ野市　上下水道料金シミュレーター</t>
    <rPh sb="3" eb="4">
      <t>ノ</t>
    </rPh>
    <rPh sb="4" eb="5">
      <t>シ</t>
    </rPh>
    <rPh sb="6" eb="8">
      <t>ジョウゲ</t>
    </rPh>
    <rPh sb="8" eb="10">
      <t>スイドウ</t>
    </rPh>
    <rPh sb="10" eb="12">
      <t>リョウキン</t>
    </rPh>
    <phoneticPr fontId="1"/>
  </si>
  <si>
    <t>区分</t>
    <rPh sb="0" eb="2">
      <t>クブン</t>
    </rPh>
    <phoneticPr fontId="1"/>
  </si>
  <si>
    <t>口径</t>
    <rPh sb="0" eb="2">
      <t>コウケイ</t>
    </rPh>
    <phoneticPr fontId="1"/>
  </si>
  <si>
    <t>期間</t>
    <rPh sb="0" eb="2">
      <t>キカン</t>
    </rPh>
    <phoneticPr fontId="1"/>
  </si>
  <si>
    <t>水量</t>
    <rPh sb="0" eb="2">
      <t>スイリョウ</t>
    </rPh>
    <phoneticPr fontId="1"/>
  </si>
  <si>
    <t>13mm</t>
    <phoneticPr fontId="1"/>
  </si>
  <si>
    <t>20mm</t>
    <phoneticPr fontId="1"/>
  </si>
  <si>
    <t>25mm</t>
    <phoneticPr fontId="1"/>
  </si>
  <si>
    <t>30mm</t>
    <phoneticPr fontId="1"/>
  </si>
  <si>
    <t>40mm</t>
    <phoneticPr fontId="1"/>
  </si>
  <si>
    <t>50mm</t>
    <phoneticPr fontId="1"/>
  </si>
  <si>
    <t>75mm</t>
    <phoneticPr fontId="1"/>
  </si>
  <si>
    <t>100mm</t>
    <phoneticPr fontId="1"/>
  </si>
  <si>
    <t>150mm</t>
    <phoneticPr fontId="1"/>
  </si>
  <si>
    <t>浴場用</t>
    <rPh sb="0" eb="3">
      <t>ヨクジョウヨウ</t>
    </rPh>
    <phoneticPr fontId="1"/>
  </si>
  <si>
    <t>臨時用</t>
    <rPh sb="0" eb="2">
      <t>リンジ</t>
    </rPh>
    <rPh sb="2" eb="3">
      <t>ヨウ</t>
    </rPh>
    <phoneticPr fontId="1"/>
  </si>
  <si>
    <t>基本料金</t>
    <rPh sb="0" eb="2">
      <t>キホン</t>
    </rPh>
    <rPh sb="2" eb="4">
      <t>リョウキン</t>
    </rPh>
    <phoneticPr fontId="1"/>
  </si>
  <si>
    <t>71以上</t>
    <rPh sb="2" eb="4">
      <t>イジョウ</t>
    </rPh>
    <phoneticPr fontId="1"/>
  </si>
  <si>
    <t>101以上</t>
    <rPh sb="3" eb="5">
      <t>イジョウ</t>
    </rPh>
    <phoneticPr fontId="1"/>
  </si>
  <si>
    <t>超過料金</t>
    <rPh sb="0" eb="2">
      <t>チョウカ</t>
    </rPh>
    <rPh sb="2" eb="4">
      <t>リョウキン</t>
    </rPh>
    <phoneticPr fontId="1"/>
  </si>
  <si>
    <t>水道料金</t>
    <rPh sb="0" eb="2">
      <t>スイドウ</t>
    </rPh>
    <rPh sb="2" eb="4">
      <t>リョウキン</t>
    </rPh>
    <phoneticPr fontId="1"/>
  </si>
  <si>
    <t>1～10</t>
    <phoneticPr fontId="1"/>
  </si>
  <si>
    <t>11～20</t>
    <phoneticPr fontId="1"/>
  </si>
  <si>
    <t>21～30</t>
    <phoneticPr fontId="1"/>
  </si>
  <si>
    <t>31～50</t>
    <phoneticPr fontId="1"/>
  </si>
  <si>
    <t>51～70</t>
    <phoneticPr fontId="1"/>
  </si>
  <si>
    <t>■水道料金（1ヶ月当り）</t>
    <rPh sb="1" eb="3">
      <t>スイドウ</t>
    </rPh>
    <rPh sb="3" eb="5">
      <t>リョウキン</t>
    </rPh>
    <rPh sb="8" eb="9">
      <t>ゲツ</t>
    </rPh>
    <rPh sb="9" eb="10">
      <t>アタ</t>
    </rPh>
    <phoneticPr fontId="1"/>
  </si>
  <si>
    <t>■下水道使用料（1ヶ月当り）</t>
    <rPh sb="1" eb="4">
      <t>ゲスイドウ</t>
    </rPh>
    <rPh sb="4" eb="7">
      <t>シヨウリョウ</t>
    </rPh>
    <rPh sb="10" eb="11">
      <t>ゲツ</t>
    </rPh>
    <rPh sb="11" eb="12">
      <t>アタ</t>
    </rPh>
    <phoneticPr fontId="1"/>
  </si>
  <si>
    <t>51～100</t>
    <phoneticPr fontId="1"/>
  </si>
  <si>
    <t>101～500</t>
    <phoneticPr fontId="1"/>
  </si>
  <si>
    <t>501以上</t>
    <rPh sb="3" eb="5">
      <t>イジョウ</t>
    </rPh>
    <phoneticPr fontId="1"/>
  </si>
  <si>
    <t>基本水量</t>
    <rPh sb="0" eb="2">
      <t>キホン</t>
    </rPh>
    <rPh sb="2" eb="4">
      <t>スイリョウ</t>
    </rPh>
    <phoneticPr fontId="1"/>
  </si>
  <si>
    <t>10㎥まで</t>
    <phoneticPr fontId="1"/>
  </si>
  <si>
    <t>下水道料金</t>
    <rPh sb="0" eb="3">
      <t>ゲスイドウ</t>
    </rPh>
    <rPh sb="3" eb="5">
      <t>リョウキン</t>
    </rPh>
    <phoneticPr fontId="1"/>
  </si>
  <si>
    <t>下水道使用料</t>
    <rPh sb="0" eb="3">
      <t>ゲスイドウ</t>
    </rPh>
    <rPh sb="3" eb="6">
      <t>シヨウリョウ</t>
    </rPh>
    <phoneticPr fontId="1"/>
  </si>
  <si>
    <t>上下水道料金</t>
    <rPh sb="0" eb="2">
      <t>ジョウゲ</t>
    </rPh>
    <rPh sb="2" eb="4">
      <t>スイドウ</t>
    </rPh>
    <rPh sb="4" eb="6">
      <t>リョウキン</t>
    </rPh>
    <phoneticPr fontId="1"/>
  </si>
  <si>
    <t>水道料金内訳</t>
    <rPh sb="0" eb="2">
      <t>スイドウ</t>
    </rPh>
    <rPh sb="2" eb="4">
      <t>リョウキン</t>
    </rPh>
    <rPh sb="4" eb="5">
      <t>ウチ</t>
    </rPh>
    <rPh sb="5" eb="6">
      <t>ヤク</t>
    </rPh>
    <phoneticPr fontId="1"/>
  </si>
  <si>
    <t>下水道使用料内訳</t>
    <rPh sb="0" eb="3">
      <t>ゲスイドウ</t>
    </rPh>
    <rPh sb="3" eb="6">
      <t>シヨウリョウ</t>
    </rPh>
    <rPh sb="6" eb="7">
      <t>ウチ</t>
    </rPh>
    <rPh sb="7" eb="8">
      <t>ヤク</t>
    </rPh>
    <phoneticPr fontId="1"/>
  </si>
  <si>
    <t>一般用</t>
    <rPh sb="0" eb="2">
      <t>イッパン</t>
    </rPh>
    <rPh sb="2" eb="3">
      <t>ヨウ</t>
    </rPh>
    <phoneticPr fontId="1"/>
  </si>
  <si>
    <t>一般汚水</t>
    <rPh sb="0" eb="2">
      <t>イッパン</t>
    </rPh>
    <rPh sb="2" eb="4">
      <t>オスイ</t>
    </rPh>
    <phoneticPr fontId="1"/>
  </si>
  <si>
    <t>浴場汚水</t>
    <rPh sb="0" eb="2">
      <t>ヨクジョウ</t>
    </rPh>
    <rPh sb="2" eb="4">
      <t>オスイ</t>
    </rPh>
    <phoneticPr fontId="1"/>
  </si>
  <si>
    <t>－</t>
    <phoneticPr fontId="1"/>
  </si>
  <si>
    <t>＜更新履歴＞</t>
    <rPh sb="1" eb="3">
      <t>コウシン</t>
    </rPh>
    <rPh sb="3" eb="5">
      <t>リレキ</t>
    </rPh>
    <phoneticPr fontId="1"/>
  </si>
  <si>
    <t>一般用</t>
  </si>
  <si>
    <t>～</t>
    <phoneticPr fontId="1"/>
  </si>
  <si>
    <t>円</t>
    <rPh sb="0" eb="1">
      <t>エン</t>
    </rPh>
    <phoneticPr fontId="1"/>
  </si>
  <si>
    <t>×</t>
    <phoneticPr fontId="1"/>
  </si>
  <si>
    <t>＝</t>
    <phoneticPr fontId="1"/>
  </si>
  <si>
    <t>㎥</t>
    <phoneticPr fontId="1"/>
  </si>
  <si>
    <t>㎥まで</t>
    <phoneticPr fontId="1"/>
  </si>
  <si>
    <t>計</t>
    <rPh sb="0" eb="1">
      <t>ケイ</t>
    </rPh>
    <phoneticPr fontId="1"/>
  </si>
  <si>
    <t>■上水道</t>
    <rPh sb="1" eb="4">
      <t>ジョウスイドウ</t>
    </rPh>
    <phoneticPr fontId="1"/>
  </si>
  <si>
    <t>■下水道</t>
    <rPh sb="1" eb="4">
      <t>ゲスイドウ</t>
    </rPh>
    <phoneticPr fontId="1"/>
  </si>
  <si>
    <t>使用水量内訳</t>
    <rPh sb="0" eb="2">
      <t>シヨウ</t>
    </rPh>
    <rPh sb="2" eb="4">
      <t>スイリョウ</t>
    </rPh>
    <rPh sb="4" eb="6">
      <t>ウチワケ</t>
    </rPh>
    <phoneticPr fontId="1"/>
  </si>
  <si>
    <t>汚水排除（排水）量内訳</t>
    <rPh sb="0" eb="2">
      <t>オスイ</t>
    </rPh>
    <rPh sb="2" eb="4">
      <t>ハイジョ</t>
    </rPh>
    <rPh sb="5" eb="7">
      <t>ハイスイ</t>
    </rPh>
    <rPh sb="8" eb="9">
      <t>リョウ</t>
    </rPh>
    <rPh sb="9" eb="11">
      <t>ウチワケ</t>
    </rPh>
    <phoneticPr fontId="1"/>
  </si>
  <si>
    <t>・</t>
    <phoneticPr fontId="1"/>
  </si>
  <si>
    <t>【シミュレーター使用方法】</t>
    <rPh sb="8" eb="10">
      <t>シヨウ</t>
    </rPh>
    <rPh sb="10" eb="12">
      <t>ホウホウ</t>
    </rPh>
    <phoneticPr fontId="1"/>
  </si>
  <si>
    <t>（税込み）</t>
    <rPh sb="1" eb="3">
      <t>ゼイコミ</t>
    </rPh>
    <phoneticPr fontId="1"/>
  </si>
  <si>
    <t>「区分」選択・・・「一般用、浴場用、臨時用」</t>
    <rPh sb="1" eb="3">
      <t>クブン</t>
    </rPh>
    <rPh sb="4" eb="6">
      <t>センタク</t>
    </rPh>
    <rPh sb="10" eb="13">
      <t>イッパンヨウ</t>
    </rPh>
    <rPh sb="14" eb="17">
      <t>ヨクジョウヨウ</t>
    </rPh>
    <rPh sb="18" eb="20">
      <t>リンジ</t>
    </rPh>
    <rPh sb="20" eb="21">
      <t>ヨウ</t>
    </rPh>
    <phoneticPr fontId="1"/>
  </si>
  <si>
    <t>〒</t>
    <phoneticPr fontId="1"/>
  </si>
  <si>
    <t>356-8501</t>
    <phoneticPr fontId="1"/>
  </si>
  <si>
    <t>ふじみ野市役所　第二庁舎（1階）</t>
    <rPh sb="3" eb="4">
      <t>ノ</t>
    </rPh>
    <rPh sb="4" eb="5">
      <t>シ</t>
    </rPh>
    <rPh sb="5" eb="7">
      <t>ヤクショ</t>
    </rPh>
    <rPh sb="8" eb="10">
      <t>ダイニ</t>
    </rPh>
    <rPh sb="10" eb="12">
      <t>チョウシャ</t>
    </rPh>
    <rPh sb="14" eb="15">
      <t>カイ</t>
    </rPh>
    <phoneticPr fontId="1"/>
  </si>
  <si>
    <t>ふじみ野市福岡一丁目１番１号</t>
    <rPh sb="3" eb="4">
      <t>ノ</t>
    </rPh>
    <rPh sb="4" eb="5">
      <t>シ</t>
    </rPh>
    <rPh sb="5" eb="7">
      <t>フクオカ</t>
    </rPh>
    <rPh sb="7" eb="10">
      <t>イッチョウメ</t>
    </rPh>
    <rPh sb="11" eb="12">
      <t>バン</t>
    </rPh>
    <rPh sb="13" eb="14">
      <t>ゴウ</t>
    </rPh>
    <phoneticPr fontId="1"/>
  </si>
  <si>
    <t>ふじみ野市水道サービスセンター</t>
    <rPh sb="3" eb="4">
      <t>ノ</t>
    </rPh>
    <rPh sb="4" eb="5">
      <t>シ</t>
    </rPh>
    <rPh sb="5" eb="7">
      <t>スイドウ</t>
    </rPh>
    <phoneticPr fontId="1"/>
  </si>
  <si>
    <t>営業：８時３０分から１７時１５分まで</t>
    <rPh sb="0" eb="2">
      <t>エイギョウ</t>
    </rPh>
    <rPh sb="4" eb="5">
      <t>ジ</t>
    </rPh>
    <rPh sb="7" eb="8">
      <t>フン</t>
    </rPh>
    <rPh sb="12" eb="13">
      <t>ジ</t>
    </rPh>
    <rPh sb="15" eb="16">
      <t>フン</t>
    </rPh>
    <phoneticPr fontId="1"/>
  </si>
  <si>
    <t>電話：０４９－２２０－２０７７（直通）</t>
    <rPh sb="0" eb="2">
      <t>デンワ</t>
    </rPh>
    <rPh sb="16" eb="18">
      <t>チョクツウ</t>
    </rPh>
    <phoneticPr fontId="1"/>
  </si>
  <si>
    <t>　　（土・日・祝日・年末年始はお休みです）</t>
    <rPh sb="3" eb="4">
      <t>ド</t>
    </rPh>
    <rPh sb="5" eb="6">
      <t>ヒ</t>
    </rPh>
    <rPh sb="7" eb="9">
      <t>シュクジツ</t>
    </rPh>
    <rPh sb="10" eb="12">
      <t>ネンマツ</t>
    </rPh>
    <rPh sb="12" eb="14">
      <t>ネンシ</t>
    </rPh>
    <rPh sb="16" eb="17">
      <t>ヤス</t>
    </rPh>
    <phoneticPr fontId="1"/>
  </si>
  <si>
    <t>2018.6.21　～　シミュレーター新規作成（計算表）</t>
    <rPh sb="19" eb="21">
      <t>シンキ</t>
    </rPh>
    <rPh sb="21" eb="23">
      <t>サクセイ</t>
    </rPh>
    <rPh sb="24" eb="26">
      <t>ケイサン</t>
    </rPh>
    <rPh sb="26" eb="27">
      <t>ヒョウ</t>
    </rPh>
    <phoneticPr fontId="1"/>
  </si>
  <si>
    <t>2018.7.12　～　表示用シートレイアウト作成</t>
    <rPh sb="12" eb="15">
      <t>ヒョウジヨウ</t>
    </rPh>
    <rPh sb="23" eb="25">
      <t>サクセイ</t>
    </rPh>
    <phoneticPr fontId="1"/>
  </si>
  <si>
    <t>「口径」選択・・・「13mmから150mmまで」</t>
    <rPh sb="1" eb="3">
      <t>コウケイ</t>
    </rPh>
    <rPh sb="4" eb="6">
      <t>センタク</t>
    </rPh>
    <phoneticPr fontId="1"/>
  </si>
  <si>
    <t>円</t>
    <rPh sb="0" eb="1">
      <t>エン</t>
    </rPh>
    <phoneticPr fontId="1"/>
  </si>
  <si>
    <t>㎥</t>
    <phoneticPr fontId="1"/>
  </si>
  <si>
    <t>使用水量</t>
    <rPh sb="0" eb="2">
      <t>シヨウ</t>
    </rPh>
    <rPh sb="2" eb="4">
      <t>スイリョウ</t>
    </rPh>
    <phoneticPr fontId="1"/>
  </si>
  <si>
    <t>「使用水量」入力・・・水量を入力してください</t>
    <rPh sb="1" eb="3">
      <t>シヨウ</t>
    </rPh>
    <rPh sb="3" eb="5">
      <t>スイリョウ</t>
    </rPh>
    <rPh sb="6" eb="8">
      <t>ニュウリョク</t>
    </rPh>
    <rPh sb="11" eb="13">
      <t>スイリョウ</t>
    </rPh>
    <rPh sb="12" eb="13">
      <t>ヨウスイ</t>
    </rPh>
    <rPh sb="14" eb="16">
      <t>ニュウリョク</t>
    </rPh>
    <phoneticPr fontId="1"/>
  </si>
  <si>
    <t>金　額</t>
    <rPh sb="0" eb="1">
      <t>キン</t>
    </rPh>
    <rPh sb="2" eb="3">
      <t>ガク</t>
    </rPh>
    <phoneticPr fontId="1"/>
  </si>
  <si>
    <t>基　本　料　金</t>
    <rPh sb="0" eb="1">
      <t>モト</t>
    </rPh>
    <rPh sb="2" eb="3">
      <t>ホン</t>
    </rPh>
    <rPh sb="4" eb="5">
      <t>リョウ</t>
    </rPh>
    <rPh sb="6" eb="7">
      <t>キン</t>
    </rPh>
    <phoneticPr fontId="1"/>
  </si>
  <si>
    <t>従　量　料　金</t>
    <rPh sb="0" eb="1">
      <t>ジュウ</t>
    </rPh>
    <rPh sb="2" eb="3">
      <t>リョウ</t>
    </rPh>
    <rPh sb="4" eb="5">
      <t>リョウ</t>
    </rPh>
    <rPh sb="6" eb="7">
      <t>キン</t>
    </rPh>
    <phoneticPr fontId="1"/>
  </si>
  <si>
    <t>水　道　料　金</t>
    <rPh sb="0" eb="1">
      <t>ミズ</t>
    </rPh>
    <rPh sb="2" eb="3">
      <t>ミチ</t>
    </rPh>
    <rPh sb="4" eb="5">
      <t>リョウ</t>
    </rPh>
    <rPh sb="6" eb="7">
      <t>キン</t>
    </rPh>
    <phoneticPr fontId="1"/>
  </si>
  <si>
    <t>下 水 道 使 用 料</t>
    <rPh sb="0" eb="1">
      <t>シタ</t>
    </rPh>
    <rPh sb="2" eb="3">
      <t>ミズ</t>
    </rPh>
    <rPh sb="4" eb="5">
      <t>ミチ</t>
    </rPh>
    <rPh sb="6" eb="7">
      <t>シ</t>
    </rPh>
    <rPh sb="8" eb="9">
      <t>ヨウ</t>
    </rPh>
    <rPh sb="10" eb="11">
      <t>リョウ</t>
    </rPh>
    <phoneticPr fontId="1"/>
  </si>
  <si>
    <t>「期間」選択・・・「1.0ヶ月分・2.0ヶ月分」</t>
    <rPh sb="1" eb="3">
      <t>キカン</t>
    </rPh>
    <rPh sb="4" eb="6">
      <t>センタク</t>
    </rPh>
    <rPh sb="14" eb="15">
      <t>ゲツ</t>
    </rPh>
    <rPh sb="15" eb="16">
      <t>ブン</t>
    </rPh>
    <rPh sb="21" eb="22">
      <t>ゲツ</t>
    </rPh>
    <rPh sb="22" eb="23">
      <t>ブン</t>
    </rPh>
    <phoneticPr fontId="1"/>
  </si>
  <si>
    <t>※</t>
    <phoneticPr fontId="1"/>
  </si>
  <si>
    <t>簡易計算のため実際の請求とは異なる場合があります。</t>
    <rPh sb="0" eb="2">
      <t>カンイ</t>
    </rPh>
    <rPh sb="2" eb="4">
      <t>ケイサン</t>
    </rPh>
    <rPh sb="7" eb="9">
      <t>ジッサイ</t>
    </rPh>
    <rPh sb="10" eb="12">
      <t>セイキュウ</t>
    </rPh>
    <rPh sb="14" eb="15">
      <t>コト</t>
    </rPh>
    <rPh sb="17" eb="19">
      <t>バアイ</t>
    </rPh>
    <phoneticPr fontId="1"/>
  </si>
  <si>
    <t>単価</t>
    <rPh sb="0" eb="1">
      <t>タン</t>
    </rPh>
    <rPh sb="1" eb="2">
      <t>アタイ</t>
    </rPh>
    <phoneticPr fontId="1"/>
  </si>
  <si>
    <t>水量</t>
    <rPh sb="0" eb="1">
      <t>ミズ</t>
    </rPh>
    <rPh sb="1" eb="2">
      <t>リョウ</t>
    </rPh>
    <phoneticPr fontId="1"/>
  </si>
  <si>
    <t>※黄色部分を入力してください。</t>
    <rPh sb="1" eb="3">
      <t>キイロ</t>
    </rPh>
    <rPh sb="3" eb="5">
      <t>ブブン</t>
    </rPh>
    <rPh sb="6" eb="8">
      <t>ニュウリョク</t>
    </rPh>
    <phoneticPr fontId="1"/>
  </si>
  <si>
    <t>㎥</t>
    <phoneticPr fontId="1"/>
  </si>
  <si>
    <t>平成３１年１０月１日現在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1"/>
  </si>
  <si>
    <t>2019.3.5　～　税率改正により外税表記に修正</t>
    <rPh sb="11" eb="13">
      <t>ゼイリツ</t>
    </rPh>
    <rPh sb="13" eb="15">
      <t>カイセイ</t>
    </rPh>
    <rPh sb="18" eb="19">
      <t>ソト</t>
    </rPh>
    <rPh sb="19" eb="20">
      <t>ゼイ</t>
    </rPh>
    <rPh sb="20" eb="22">
      <t>ヒョウキ</t>
    </rPh>
    <rPh sb="23" eb="25">
      <t>シュウセイ</t>
    </rPh>
    <phoneticPr fontId="1"/>
  </si>
  <si>
    <t>水道料金の税額</t>
    <rPh sb="0" eb="2">
      <t>スイドウ</t>
    </rPh>
    <rPh sb="2" eb="4">
      <t>リョウキン</t>
    </rPh>
    <rPh sb="5" eb="7">
      <t>ゼイガク</t>
    </rPh>
    <phoneticPr fontId="1"/>
  </si>
  <si>
    <t>水道料金総額</t>
    <rPh sb="0" eb="2">
      <t>スイドウ</t>
    </rPh>
    <rPh sb="2" eb="4">
      <t>リョウキン</t>
    </rPh>
    <rPh sb="4" eb="6">
      <t>ソウガク</t>
    </rPh>
    <phoneticPr fontId="1"/>
  </si>
  <si>
    <t>下水道使用料の税額</t>
    <rPh sb="0" eb="3">
      <t>ゲスイドウ</t>
    </rPh>
    <rPh sb="3" eb="6">
      <t>シヨウリョウ</t>
    </rPh>
    <rPh sb="7" eb="9">
      <t>ゼイガク</t>
    </rPh>
    <phoneticPr fontId="1"/>
  </si>
  <si>
    <t>下水道使用料総額</t>
    <rPh sb="0" eb="3">
      <t>ゲスイドウ</t>
    </rPh>
    <rPh sb="3" eb="6">
      <t>シヨウリョウ</t>
    </rPh>
    <rPh sb="6" eb="8">
      <t>ソウガク</t>
    </rPh>
    <phoneticPr fontId="1"/>
  </si>
  <si>
    <t>（内消費税総額）</t>
    <rPh sb="1" eb="2">
      <t>ウチ</t>
    </rPh>
    <rPh sb="2" eb="5">
      <t>ショウヒゼイ</t>
    </rPh>
    <rPh sb="5" eb="7">
      <t>ソウガク</t>
    </rPh>
    <phoneticPr fontId="1"/>
  </si>
  <si>
    <t>（税抜き）</t>
    <rPh sb="1" eb="2">
      <t>ゼイ</t>
    </rPh>
    <rPh sb="2" eb="3">
      <t>ヌ</t>
    </rPh>
    <phoneticPr fontId="1"/>
  </si>
  <si>
    <t>2019.5.14　～　一部の単価について端数処理方法修正</t>
    <rPh sb="12" eb="14">
      <t>イチブ</t>
    </rPh>
    <rPh sb="15" eb="17">
      <t>タンカ</t>
    </rPh>
    <rPh sb="21" eb="23">
      <t>ハスウ</t>
    </rPh>
    <rPh sb="23" eb="25">
      <t>ショリ</t>
    </rPh>
    <rPh sb="25" eb="27">
      <t>ホウホウ</t>
    </rPh>
    <rPh sb="27" eb="29">
      <t>シュウセイ</t>
    </rPh>
    <phoneticPr fontId="1"/>
  </si>
  <si>
    <t>20mm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</si>
</sst>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0.0_ "/>
    <numFmt numFmtId="177" formatCode="#,##0_ "/>
    <numFmt numFmtId="178" formatCode="#,##0_);[Red]\(#,##0\)"/>
    <numFmt numFmtId="179" formatCode="0.0\ &quot;ヶ&quot;&quot;月&quot;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9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2" fillId="0" borderId="0" xfId="0" applyFont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41" fontId="0" fillId="3" borderId="1" xfId="0" applyNumberFormat="1" applyFill="1" applyBorder="1" applyAlignment="1" applyProtection="1">
      <alignment vertical="center"/>
      <protection hidden="1"/>
    </xf>
    <xf numFmtId="41" fontId="0" fillId="0" borderId="1" xfId="0" applyNumberFormat="1" applyBorder="1" applyProtection="1">
      <alignment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176" fontId="0" fillId="0" borderId="0" xfId="0" applyNumberFormat="1" applyBorder="1" applyAlignment="1" applyProtection="1">
      <alignment horizontal="center" vertical="center"/>
      <protection hidden="1"/>
    </xf>
    <xf numFmtId="41" fontId="0" fillId="0" borderId="0" xfId="0" applyNumberFormat="1" applyBorder="1" applyProtection="1">
      <alignment vertical="center"/>
      <protection hidden="1"/>
    </xf>
    <xf numFmtId="0" fontId="5" fillId="0" borderId="0" xfId="0" applyFont="1" applyProtection="1">
      <alignment vertical="center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41" fontId="0" fillId="0" borderId="9" xfId="0" applyNumberFormat="1" applyBorder="1" applyProtection="1">
      <alignment vertical="center"/>
      <protection hidden="1"/>
    </xf>
    <xf numFmtId="41" fontId="0" fillId="0" borderId="7" xfId="0" applyNumberFormat="1" applyBorder="1" applyProtection="1">
      <alignment vertical="center"/>
      <protection hidden="1"/>
    </xf>
    <xf numFmtId="0" fontId="0" fillId="0" borderId="0" xfId="0" applyFont="1" applyProtection="1">
      <alignment vertical="center"/>
      <protection hidden="1"/>
    </xf>
    <xf numFmtId="0" fontId="0" fillId="2" borderId="2" xfId="0" applyFill="1" applyBorder="1" applyAlignment="1" applyProtection="1">
      <alignment horizontal="center" vertical="center"/>
      <protection hidden="1"/>
    </xf>
    <xf numFmtId="41" fontId="0" fillId="0" borderId="3" xfId="0" applyNumberFormat="1" applyBorder="1" applyProtection="1">
      <alignment vertical="center"/>
      <protection hidden="1"/>
    </xf>
    <xf numFmtId="41" fontId="0" fillId="0" borderId="5" xfId="0" applyNumberFormat="1" applyBorder="1" applyProtection="1">
      <alignment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7" fillId="2" borderId="1" xfId="0" applyFont="1" applyFill="1" applyBorder="1" applyAlignment="1" applyProtection="1">
      <alignment horizontal="center" vertical="center"/>
      <protection hidden="1"/>
    </xf>
    <xf numFmtId="0" fontId="11" fillId="0" borderId="0" xfId="0" applyFont="1" applyProtection="1">
      <alignment vertical="center"/>
      <protection hidden="1"/>
    </xf>
    <xf numFmtId="41" fontId="0" fillId="2" borderId="18" xfId="0" applyNumberFormat="1" applyFont="1" applyFill="1" applyBorder="1" applyAlignment="1" applyProtection="1">
      <alignment horizontal="center" vertical="center"/>
      <protection hidden="1"/>
    </xf>
    <xf numFmtId="0" fontId="0" fillId="2" borderId="18" xfId="0" applyFont="1" applyFill="1" applyBorder="1" applyAlignment="1" applyProtection="1">
      <alignment horizontal="center" vertical="center"/>
      <protection hidden="1"/>
    </xf>
    <xf numFmtId="178" fontId="0" fillId="2" borderId="18" xfId="0" applyNumberFormat="1" applyFont="1" applyFill="1" applyBorder="1" applyAlignment="1" applyProtection="1">
      <alignment horizontal="center" vertical="center"/>
      <protection hidden="1"/>
    </xf>
    <xf numFmtId="177" fontId="0" fillId="4" borderId="13" xfId="0" applyNumberFormat="1" applyFont="1" applyFill="1" applyBorder="1" applyProtection="1">
      <alignment vertical="center"/>
      <protection hidden="1"/>
    </xf>
    <xf numFmtId="0" fontId="0" fillId="4" borderId="13" xfId="0" applyFont="1" applyFill="1" applyBorder="1" applyProtection="1">
      <alignment vertical="center"/>
      <protection hidden="1"/>
    </xf>
    <xf numFmtId="0" fontId="0" fillId="4" borderId="13" xfId="0" applyFont="1" applyFill="1" applyBorder="1" applyAlignment="1" applyProtection="1">
      <alignment horizontal="center" vertical="center"/>
      <protection hidden="1"/>
    </xf>
    <xf numFmtId="41" fontId="0" fillId="4" borderId="13" xfId="0" applyNumberFormat="1" applyFont="1" applyFill="1" applyBorder="1" applyProtection="1">
      <alignment vertical="center"/>
      <protection hidden="1"/>
    </xf>
    <xf numFmtId="178" fontId="0" fillId="4" borderId="13" xfId="0" applyNumberFormat="1" applyFont="1" applyFill="1" applyBorder="1" applyProtection="1">
      <alignment vertical="center"/>
      <protection hidden="1"/>
    </xf>
    <xf numFmtId="177" fontId="0" fillId="4" borderId="14" xfId="0" applyNumberFormat="1" applyFont="1" applyFill="1" applyBorder="1" applyProtection="1">
      <alignment vertical="center"/>
      <protection hidden="1"/>
    </xf>
    <xf numFmtId="0" fontId="0" fillId="4" borderId="14" xfId="0" applyFont="1" applyFill="1" applyBorder="1" applyProtection="1">
      <alignment vertical="center"/>
      <protection hidden="1"/>
    </xf>
    <xf numFmtId="0" fontId="0" fillId="4" borderId="14" xfId="0" applyFont="1" applyFill="1" applyBorder="1" applyAlignment="1" applyProtection="1">
      <alignment horizontal="center" vertical="center"/>
      <protection hidden="1"/>
    </xf>
    <xf numFmtId="41" fontId="0" fillId="4" borderId="14" xfId="0" applyNumberFormat="1" applyFont="1" applyFill="1" applyBorder="1" applyProtection="1">
      <alignment vertical="center"/>
      <protection hidden="1"/>
    </xf>
    <xf numFmtId="178" fontId="0" fillId="4" borderId="14" xfId="0" applyNumberFormat="1" applyFont="1" applyFill="1" applyBorder="1" applyProtection="1">
      <alignment vertical="center"/>
      <protection hidden="1"/>
    </xf>
    <xf numFmtId="177" fontId="0" fillId="4" borderId="15" xfId="0" applyNumberFormat="1" applyFont="1" applyFill="1" applyBorder="1" applyProtection="1">
      <alignment vertical="center"/>
      <protection hidden="1"/>
    </xf>
    <xf numFmtId="0" fontId="0" fillId="4" borderId="15" xfId="0" applyFont="1" applyFill="1" applyBorder="1" applyProtection="1">
      <alignment vertical="center"/>
      <protection hidden="1"/>
    </xf>
    <xf numFmtId="0" fontId="0" fillId="4" borderId="15" xfId="0" applyFont="1" applyFill="1" applyBorder="1" applyAlignment="1" applyProtection="1">
      <alignment horizontal="center" vertical="center"/>
      <protection hidden="1"/>
    </xf>
    <xf numFmtId="41" fontId="0" fillId="4" borderId="15" xfId="0" applyNumberFormat="1" applyFont="1" applyFill="1" applyBorder="1" applyProtection="1">
      <alignment vertical="center"/>
      <protection hidden="1"/>
    </xf>
    <xf numFmtId="178" fontId="0" fillId="4" borderId="15" xfId="0" applyNumberFormat="1" applyFont="1" applyFill="1" applyBorder="1" applyProtection="1">
      <alignment vertical="center"/>
      <protection hidden="1"/>
    </xf>
    <xf numFmtId="41" fontId="0" fillId="4" borderId="10" xfId="0" applyNumberFormat="1" applyFont="1" applyFill="1" applyBorder="1" applyProtection="1">
      <alignment vertical="center"/>
      <protection hidden="1"/>
    </xf>
    <xf numFmtId="0" fontId="0" fillId="4" borderId="10" xfId="0" applyFont="1" applyFill="1" applyBorder="1" applyProtection="1">
      <alignment vertical="center"/>
      <protection hidden="1"/>
    </xf>
    <xf numFmtId="0" fontId="0" fillId="4" borderId="10" xfId="0" applyFont="1" applyFill="1" applyBorder="1" applyAlignment="1" applyProtection="1">
      <alignment horizontal="center" vertical="center"/>
      <protection hidden="1"/>
    </xf>
    <xf numFmtId="178" fontId="0" fillId="4" borderId="10" xfId="0" applyNumberFormat="1" applyFont="1" applyFill="1" applyBorder="1" applyProtection="1">
      <alignment vertical="center"/>
      <protection hidden="1"/>
    </xf>
    <xf numFmtId="41" fontId="0" fillId="4" borderId="0" xfId="0" applyNumberFormat="1" applyFont="1" applyFill="1" applyProtection="1">
      <alignment vertical="center"/>
      <protection hidden="1"/>
    </xf>
    <xf numFmtId="0" fontId="0" fillId="4" borderId="0" xfId="0" applyFont="1" applyFill="1" applyProtection="1">
      <alignment vertical="center"/>
      <protection hidden="1"/>
    </xf>
    <xf numFmtId="0" fontId="0" fillId="4" borderId="0" xfId="0" applyFont="1" applyFill="1" applyAlignment="1" applyProtection="1">
      <alignment horizontal="center" vertical="center"/>
      <protection hidden="1"/>
    </xf>
    <xf numFmtId="178" fontId="0" fillId="4" borderId="0" xfId="0" applyNumberFormat="1" applyFont="1" applyFill="1" applyProtection="1">
      <alignment vertical="center"/>
      <protection hidden="1"/>
    </xf>
    <xf numFmtId="41" fontId="0" fillId="4" borderId="17" xfId="0" applyNumberFormat="1" applyFont="1" applyFill="1" applyBorder="1" applyProtection="1">
      <alignment vertical="center"/>
      <protection hidden="1"/>
    </xf>
    <xf numFmtId="0" fontId="0" fillId="4" borderId="17" xfId="0" applyFont="1" applyFill="1" applyBorder="1" applyProtection="1">
      <alignment vertical="center"/>
      <protection hidden="1"/>
    </xf>
    <xf numFmtId="0" fontId="0" fillId="4" borderId="17" xfId="0" applyFont="1" applyFill="1" applyBorder="1" applyAlignment="1" applyProtection="1">
      <alignment horizontal="center" vertical="center"/>
      <protection hidden="1"/>
    </xf>
    <xf numFmtId="177" fontId="0" fillId="4" borderId="17" xfId="0" applyNumberFormat="1" applyFont="1" applyFill="1" applyBorder="1" applyAlignment="1" applyProtection="1">
      <alignment vertical="center"/>
      <protection hidden="1"/>
    </xf>
    <xf numFmtId="177" fontId="0" fillId="4" borderId="19" xfId="0" applyNumberFormat="1" applyFont="1" applyFill="1" applyBorder="1" applyProtection="1">
      <alignment vertical="center"/>
      <protection hidden="1"/>
    </xf>
    <xf numFmtId="0" fontId="0" fillId="4" borderId="19" xfId="0" applyFont="1" applyFill="1" applyBorder="1" applyProtection="1">
      <alignment vertical="center"/>
      <protection hidden="1"/>
    </xf>
    <xf numFmtId="0" fontId="0" fillId="4" borderId="19" xfId="0" applyFont="1" applyFill="1" applyBorder="1" applyAlignment="1" applyProtection="1">
      <alignment horizontal="center" vertical="center"/>
      <protection hidden="1"/>
    </xf>
    <xf numFmtId="41" fontId="0" fillId="4" borderId="19" xfId="0" applyNumberFormat="1" applyFont="1" applyFill="1" applyBorder="1" applyProtection="1">
      <alignment vertical="center"/>
      <protection hidden="1"/>
    </xf>
    <xf numFmtId="178" fontId="0" fillId="4" borderId="19" xfId="0" applyNumberFormat="1" applyFont="1" applyFill="1" applyBorder="1" applyProtection="1">
      <alignment vertical="center"/>
      <protection hidden="1"/>
    </xf>
    <xf numFmtId="177" fontId="0" fillId="4" borderId="16" xfId="0" applyNumberFormat="1" applyFont="1" applyFill="1" applyBorder="1" applyProtection="1">
      <alignment vertical="center"/>
      <protection hidden="1"/>
    </xf>
    <xf numFmtId="0" fontId="0" fillId="4" borderId="16" xfId="0" applyFont="1" applyFill="1" applyBorder="1" applyProtection="1">
      <alignment vertical="center"/>
      <protection hidden="1"/>
    </xf>
    <xf numFmtId="0" fontId="0" fillId="4" borderId="16" xfId="0" applyFont="1" applyFill="1" applyBorder="1" applyAlignment="1" applyProtection="1">
      <alignment horizontal="center" vertical="center"/>
      <protection hidden="1"/>
    </xf>
    <xf numFmtId="41" fontId="0" fillId="4" borderId="16" xfId="0" applyNumberFormat="1" applyFont="1" applyFill="1" applyBorder="1" applyProtection="1">
      <alignment vertical="center"/>
      <protection hidden="1"/>
    </xf>
    <xf numFmtId="178" fontId="0" fillId="4" borderId="16" xfId="0" applyNumberFormat="1" applyFont="1" applyFill="1" applyBorder="1" applyProtection="1">
      <alignment vertical="center"/>
      <protection hidden="1"/>
    </xf>
    <xf numFmtId="0" fontId="11" fillId="0" borderId="0" xfId="0" applyFont="1" applyBorder="1" applyAlignment="1" applyProtection="1">
      <alignment horizontal="center" vertical="center"/>
      <protection hidden="1"/>
    </xf>
    <xf numFmtId="176" fontId="11" fillId="0" borderId="0" xfId="0" applyNumberFormat="1" applyFont="1" applyBorder="1" applyAlignment="1" applyProtection="1">
      <alignment horizontal="center" vertical="center"/>
      <protection hidden="1"/>
    </xf>
    <xf numFmtId="0" fontId="7" fillId="4" borderId="0" xfId="0" applyFont="1" applyFill="1" applyProtection="1">
      <alignment vertical="center"/>
      <protection hidden="1"/>
    </xf>
    <xf numFmtId="177" fontId="0" fillId="4" borderId="0" xfId="0" applyNumberFormat="1" applyFont="1" applyFill="1" applyProtection="1">
      <alignment vertical="center"/>
      <protection hidden="1"/>
    </xf>
    <xf numFmtId="0" fontId="7" fillId="4" borderId="20" xfId="0" applyFont="1" applyFill="1" applyBorder="1" applyProtection="1">
      <alignment vertical="center"/>
      <protection hidden="1"/>
    </xf>
    <xf numFmtId="0" fontId="7" fillId="4" borderId="21" xfId="0" applyFont="1" applyFill="1" applyBorder="1" applyProtection="1">
      <alignment vertical="center"/>
      <protection hidden="1"/>
    </xf>
    <xf numFmtId="0" fontId="7" fillId="4" borderId="22" xfId="0" applyFont="1" applyFill="1" applyBorder="1" applyProtection="1">
      <alignment vertical="center"/>
      <protection hidden="1"/>
    </xf>
    <xf numFmtId="0" fontId="7" fillId="4" borderId="23" xfId="0" applyFont="1" applyFill="1" applyBorder="1" applyProtection="1">
      <alignment vertical="center"/>
      <protection hidden="1"/>
    </xf>
    <xf numFmtId="0" fontId="7" fillId="4" borderId="24" xfId="0" applyFont="1" applyFill="1" applyBorder="1" applyProtection="1">
      <alignment vertical="center"/>
      <protection hidden="1"/>
    </xf>
    <xf numFmtId="0" fontId="7" fillId="4" borderId="0" xfId="0" applyFont="1" applyFill="1" applyBorder="1" applyAlignment="1" applyProtection="1">
      <alignment horizontal="center" vertical="center"/>
      <protection hidden="1"/>
    </xf>
    <xf numFmtId="176" fontId="7" fillId="4" borderId="0" xfId="0" applyNumberFormat="1" applyFont="1" applyFill="1" applyBorder="1" applyAlignment="1" applyProtection="1">
      <alignment horizontal="center" vertical="center"/>
      <protection hidden="1"/>
    </xf>
    <xf numFmtId="0" fontId="7" fillId="4" borderId="11" xfId="0" applyFont="1" applyFill="1" applyBorder="1" applyProtection="1">
      <alignment vertical="center"/>
      <protection hidden="1"/>
    </xf>
    <xf numFmtId="0" fontId="7" fillId="4" borderId="0" xfId="0" applyFont="1" applyFill="1" applyBorder="1" applyProtection="1">
      <alignment vertical="center"/>
      <protection hidden="1"/>
    </xf>
    <xf numFmtId="0" fontId="7" fillId="4" borderId="25" xfId="0" applyFont="1" applyFill="1" applyBorder="1" applyProtection="1">
      <alignment vertical="center"/>
      <protection hidden="1"/>
    </xf>
    <xf numFmtId="0" fontId="7" fillId="4" borderId="26" xfId="0" applyFont="1" applyFill="1" applyBorder="1" applyProtection="1">
      <alignment vertical="center"/>
      <protection hidden="1"/>
    </xf>
    <xf numFmtId="0" fontId="7" fillId="4" borderId="27" xfId="0" applyFont="1" applyFill="1" applyBorder="1" applyProtection="1">
      <alignment vertical="center"/>
      <protection hidden="1"/>
    </xf>
    <xf numFmtId="0" fontId="10" fillId="4" borderId="0" xfId="0" applyFont="1" applyFill="1" applyAlignment="1" applyProtection="1">
      <alignment horizontal="right" vertical="center"/>
      <protection hidden="1"/>
    </xf>
    <xf numFmtId="0" fontId="10" fillId="4" borderId="0" xfId="0" applyFont="1" applyFill="1" applyBorder="1" applyProtection="1">
      <alignment vertical="center"/>
      <protection hidden="1"/>
    </xf>
    <xf numFmtId="0" fontId="10" fillId="4" borderId="0" xfId="0" applyFont="1" applyFill="1" applyBorder="1" applyAlignment="1" applyProtection="1">
      <alignment horizontal="right" vertical="center"/>
      <protection hidden="1"/>
    </xf>
    <xf numFmtId="0" fontId="12" fillId="4" borderId="0" xfId="0" applyFont="1" applyFill="1" applyBorder="1" applyProtection="1">
      <alignment vertical="center"/>
      <protection hidden="1"/>
    </xf>
    <xf numFmtId="0" fontId="6" fillId="4" borderId="0" xfId="0" applyFont="1" applyFill="1" applyAlignment="1" applyProtection="1">
      <alignment horizontal="center" vertical="center"/>
      <protection hidden="1"/>
    </xf>
    <xf numFmtId="0" fontId="12" fillId="4" borderId="0" xfId="0" applyFont="1" applyFill="1" applyProtection="1">
      <alignment vertical="center"/>
      <protection hidden="1"/>
    </xf>
    <xf numFmtId="0" fontId="10" fillId="4" borderId="0" xfId="0" applyFont="1" applyFill="1" applyProtection="1">
      <alignment vertical="center"/>
      <protection hidden="1"/>
    </xf>
    <xf numFmtId="41" fontId="8" fillId="4" borderId="7" xfId="0" applyNumberFormat="1" applyFont="1" applyFill="1" applyBorder="1" applyAlignment="1" applyProtection="1">
      <alignment vertical="center"/>
      <protection hidden="1"/>
    </xf>
    <xf numFmtId="0" fontId="7" fillId="4" borderId="0" xfId="0" applyFont="1" applyFill="1" applyBorder="1" applyAlignment="1" applyProtection="1">
      <alignment vertical="center"/>
      <protection hidden="1"/>
    </xf>
    <xf numFmtId="41" fontId="9" fillId="4" borderId="12" xfId="0" applyNumberFormat="1" applyFont="1" applyFill="1" applyBorder="1" applyAlignment="1" applyProtection="1">
      <alignment vertical="center"/>
      <protection hidden="1"/>
    </xf>
    <xf numFmtId="177" fontId="7" fillId="3" borderId="29" xfId="0" applyNumberFormat="1" applyFont="1" applyFill="1" applyBorder="1" applyAlignment="1" applyProtection="1">
      <alignment vertical="center"/>
      <protection locked="0"/>
    </xf>
    <xf numFmtId="177" fontId="7" fillId="3" borderId="28" xfId="0" applyNumberFormat="1" applyFont="1" applyFill="1" applyBorder="1" applyAlignment="1" applyProtection="1">
      <alignment vertical="center"/>
      <protection hidden="1"/>
    </xf>
    <xf numFmtId="0" fontId="5" fillId="4" borderId="21" xfId="0" applyFont="1" applyFill="1" applyBorder="1" applyAlignment="1" applyProtection="1">
      <protection hidden="1"/>
    </xf>
    <xf numFmtId="0" fontId="7" fillId="3" borderId="1" xfId="0" applyFont="1" applyFill="1" applyBorder="1" applyAlignment="1" applyProtection="1">
      <alignment horizontal="center" vertical="center" shrinkToFit="1"/>
      <protection locked="0"/>
    </xf>
    <xf numFmtId="179" fontId="7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Border="1" applyAlignment="1" applyProtection="1">
      <alignment horizontal="left" vertical="center"/>
      <protection hidden="1"/>
    </xf>
    <xf numFmtId="177" fontId="0" fillId="4" borderId="14" xfId="0" applyNumberFormat="1" applyFont="1" applyFill="1" applyBorder="1" applyAlignment="1" applyProtection="1">
      <alignment vertical="center" shrinkToFit="1"/>
      <protection hidden="1"/>
    </xf>
    <xf numFmtId="177" fontId="0" fillId="4" borderId="16" xfId="0" applyNumberFormat="1" applyFont="1" applyFill="1" applyBorder="1" applyAlignment="1" applyProtection="1">
      <alignment vertical="center" shrinkToFit="1"/>
      <protection hidden="1"/>
    </xf>
    <xf numFmtId="0" fontId="4" fillId="0" borderId="8" xfId="0" applyFont="1" applyFill="1" applyBorder="1" applyAlignment="1" applyProtection="1">
      <alignment horizontal="distributed" vertical="center" justifyLastLine="1"/>
      <protection hidden="1"/>
    </xf>
    <xf numFmtId="41" fontId="4" fillId="0" borderId="8" xfId="0" applyNumberFormat="1" applyFont="1" applyBorder="1" applyAlignment="1" applyProtection="1">
      <alignment horizontal="center" vertical="center"/>
      <protection hidden="1"/>
    </xf>
    <xf numFmtId="41" fontId="3" fillId="0" borderId="10" xfId="0" applyNumberFormat="1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4" fillId="0" borderId="1" xfId="0" applyFont="1" applyFill="1" applyBorder="1" applyAlignment="1" applyProtection="1">
      <alignment horizontal="distributed" vertical="center" justifyLastLine="1"/>
      <protection hidden="1"/>
    </xf>
    <xf numFmtId="41" fontId="4" fillId="0" borderId="1" xfId="0" applyNumberFormat="1" applyFont="1" applyBorder="1" applyAlignment="1" applyProtection="1">
      <alignment horizontal="center" vertical="center"/>
      <protection hidden="1"/>
    </xf>
    <xf numFmtId="0" fontId="3" fillId="0" borderId="10" xfId="0" applyFont="1" applyBorder="1" applyAlignment="1" applyProtection="1">
      <alignment horizontal="distributed" vertical="center" justifyLastLine="1"/>
      <protection hidden="1"/>
    </xf>
    <xf numFmtId="0" fontId="4" fillId="2" borderId="1" xfId="0" applyFont="1" applyFill="1" applyBorder="1" applyAlignment="1" applyProtection="1">
      <alignment horizontal="distributed" vertical="center" justifyLastLine="1"/>
      <protection hidden="1"/>
    </xf>
    <xf numFmtId="0" fontId="4" fillId="2" borderId="8" xfId="0" applyFont="1" applyFill="1" applyBorder="1" applyAlignment="1" applyProtection="1">
      <alignment horizontal="distributed" vertical="center" justifyLastLine="1"/>
      <protection hidden="1"/>
    </xf>
    <xf numFmtId="41" fontId="4" fillId="2" borderId="8" xfId="0" applyNumberFormat="1" applyFont="1" applyFill="1" applyBorder="1" applyAlignment="1" applyProtection="1">
      <alignment horizontal="center" vertical="center"/>
      <protection hidden="1"/>
    </xf>
    <xf numFmtId="41" fontId="4" fillId="2" borderId="1" xfId="0" applyNumberFormat="1" applyFont="1" applyFill="1" applyBorder="1" applyAlignment="1" applyProtection="1">
      <alignment horizontal="center" vertical="center"/>
      <protection hidden="1"/>
    </xf>
    <xf numFmtId="177" fontId="0" fillId="4" borderId="10" xfId="0" applyNumberFormat="1" applyFont="1" applyFill="1" applyBorder="1" applyAlignment="1" applyProtection="1">
      <alignment horizontal="center" vertical="center"/>
      <protection hidden="1"/>
    </xf>
    <xf numFmtId="177" fontId="0" fillId="4" borderId="0" xfId="0" applyNumberFormat="1" applyFont="1" applyFill="1" applyAlignment="1" applyProtection="1">
      <alignment horizontal="center" vertical="center"/>
      <protection hidden="1"/>
    </xf>
    <xf numFmtId="177" fontId="0" fillId="4" borderId="17" xfId="0" applyNumberFormat="1" applyFont="1" applyFill="1" applyBorder="1" applyAlignment="1" applyProtection="1">
      <alignment horizontal="center" vertical="center"/>
      <protection hidden="1"/>
    </xf>
    <xf numFmtId="0" fontId="2" fillId="4" borderId="0" xfId="0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Alignment="1" applyProtection="1">
      <alignment horizontal="center" vertical="center"/>
      <protection hidden="1"/>
    </xf>
    <xf numFmtId="177" fontId="0" fillId="2" borderId="18" xfId="0" applyNumberFormat="1" applyFont="1" applyFill="1" applyBorder="1" applyAlignment="1" applyProtection="1">
      <alignment horizontal="center" vertical="center"/>
      <protection hidden="1"/>
    </xf>
    <xf numFmtId="0" fontId="8" fillId="4" borderId="1" xfId="0" applyFont="1" applyFill="1" applyBorder="1" applyAlignment="1" applyProtection="1">
      <alignment horizontal="distributed" vertical="center" justifyLastLine="1"/>
      <protection hidden="1"/>
    </xf>
    <xf numFmtId="41" fontId="8" fillId="4" borderId="1" xfId="0" applyNumberFormat="1" applyFont="1" applyFill="1" applyBorder="1" applyAlignment="1" applyProtection="1">
      <alignment horizontal="center" vertical="center"/>
      <protection hidden="1"/>
    </xf>
    <xf numFmtId="41" fontId="8" fillId="4" borderId="6" xfId="0" applyNumberFormat="1" applyFont="1" applyFill="1" applyBorder="1" applyAlignment="1" applyProtection="1">
      <alignment horizontal="center" vertical="center"/>
      <protection hidden="1"/>
    </xf>
    <xf numFmtId="0" fontId="9" fillId="4" borderId="12" xfId="0" applyFont="1" applyFill="1" applyBorder="1" applyAlignment="1" applyProtection="1">
      <alignment horizontal="distributed" vertical="center" justifyLastLine="1"/>
      <protection hidden="1"/>
    </xf>
    <xf numFmtId="41" fontId="9" fillId="4" borderId="12" xfId="0" applyNumberFormat="1" applyFont="1" applyFill="1" applyBorder="1" applyAlignment="1" applyProtection="1">
      <alignment horizontal="center" vertical="center"/>
      <protection hidden="1"/>
    </xf>
    <xf numFmtId="0" fontId="7" fillId="2" borderId="6" xfId="0" applyFont="1" applyFill="1" applyBorder="1" applyAlignment="1" applyProtection="1">
      <alignment horizontal="center" vertical="center"/>
      <protection hidden="1"/>
    </xf>
    <xf numFmtId="0" fontId="7" fillId="2" borderId="7" xfId="0" applyFont="1" applyFill="1" applyBorder="1" applyAlignment="1" applyProtection="1">
      <alignment horizontal="center" vertical="center"/>
      <protection hidden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6</xdr:col>
      <xdr:colOff>85725</xdr:colOff>
      <xdr:row>24</xdr:row>
      <xdr:rowOff>228600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52425" y="4514850"/>
          <a:ext cx="3105150" cy="1724025"/>
        </a:xfrm>
        <a:prstGeom prst="round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33"/>
  <sheetViews>
    <sheetView workbookViewId="0">
      <selection activeCell="D3" sqref="D3"/>
    </sheetView>
  </sheetViews>
  <sheetFormatPr defaultRowHeight="18.75" x14ac:dyDescent="0.4"/>
  <cols>
    <col min="1" max="4" width="9" style="2"/>
    <col min="5" max="5" width="10" style="2" bestFit="1" customWidth="1"/>
    <col min="6" max="7" width="10.625" style="2" customWidth="1"/>
    <col min="8" max="12" width="7.625" style="2" customWidth="1"/>
    <col min="13" max="14" width="10.625" style="2" customWidth="1"/>
    <col min="15" max="16384" width="9" style="2"/>
  </cols>
  <sheetData>
    <row r="1" spans="1:14" ht="19.5" x14ac:dyDescent="0.4">
      <c r="A1" s="1" t="s">
        <v>0</v>
      </c>
      <c r="L1" s="101" t="s">
        <v>86</v>
      </c>
      <c r="M1" s="101"/>
      <c r="N1" s="101"/>
    </row>
    <row r="2" spans="1:14" x14ac:dyDescent="0.4">
      <c r="A2" s="3" t="s">
        <v>1</v>
      </c>
      <c r="B2" s="3" t="s">
        <v>2</v>
      </c>
      <c r="C2" s="3" t="s">
        <v>3</v>
      </c>
      <c r="D2" s="3" t="s">
        <v>4</v>
      </c>
      <c r="F2" s="102" t="s">
        <v>36</v>
      </c>
      <c r="G2" s="103"/>
      <c r="H2" s="3">
        <f>IF(C3&lt;=1,10,20)</f>
        <v>20</v>
      </c>
      <c r="I2" s="3">
        <f>IF(C3&lt;=1,20,40)</f>
        <v>40</v>
      </c>
      <c r="J2" s="3">
        <f>IF(C3&lt;=1,30,60)</f>
        <v>60</v>
      </c>
      <c r="K2" s="3">
        <f>IF(C3&lt;=1,50,100)</f>
        <v>100</v>
      </c>
      <c r="L2" s="3">
        <f>IF(C3&lt;=1,70,140)</f>
        <v>140</v>
      </c>
      <c r="M2" s="3" t="str">
        <f>L2+1&amp;"以上"</f>
        <v>141以上</v>
      </c>
      <c r="N2" s="3" t="str">
        <f>C3*100+1&amp;"以上"</f>
        <v>201以上</v>
      </c>
    </row>
    <row r="3" spans="1:14" x14ac:dyDescent="0.4">
      <c r="A3" s="4" t="str">
        <f>シミュレーター!C4</f>
        <v>一般用</v>
      </c>
      <c r="B3" s="4" t="str">
        <f>シミュレーター!D4</f>
        <v>20mm</v>
      </c>
      <c r="C3" s="4">
        <f>シミュレーター!E4</f>
        <v>2</v>
      </c>
      <c r="D3" s="4">
        <f>シミュレーター!F4</f>
        <v>5</v>
      </c>
      <c r="F3" s="3" t="s">
        <v>20</v>
      </c>
      <c r="G3" s="5">
        <f>SUM(G4:G5)</f>
        <v>1097</v>
      </c>
      <c r="H3" s="6">
        <f>IF(D3&gt;H2,H2,D3)</f>
        <v>5</v>
      </c>
      <c r="I3" s="6">
        <f>IF(D3&lt;H2,0,IF(D3&gt;I2,I2-H2,D3-H2))</f>
        <v>0</v>
      </c>
      <c r="J3" s="6">
        <f>IF(D3&lt;I2,0,IF(D3&gt;J2,J2-I2,D3-I2))</f>
        <v>0</v>
      </c>
      <c r="K3" s="6">
        <f>IF(D3&lt;J2,0,IF(D3&gt;K2,K2-J2,D3-J2))</f>
        <v>0</v>
      </c>
      <c r="L3" s="6">
        <f>IF(D3&lt;K2,0,IF(D3&gt;L2,L2-K2,D3-K2))</f>
        <v>0</v>
      </c>
      <c r="M3" s="6">
        <f>IF(D3&lt;L2,0,D3-L2)</f>
        <v>0</v>
      </c>
      <c r="N3" s="6">
        <f>IF(D3&gt;C3*100,D3-(C3*100),0)</f>
        <v>0</v>
      </c>
    </row>
    <row r="4" spans="1:14" x14ac:dyDescent="0.4">
      <c r="A4" s="7"/>
      <c r="B4" s="7"/>
      <c r="C4" s="8"/>
      <c r="D4" s="7"/>
      <c r="F4" s="4" t="s">
        <v>16</v>
      </c>
      <c r="G4" s="6">
        <f>ROUNDDOWN(IF(A3="一般用",VLOOKUP(B3,suidou,2,0)*C3,VLOOKUP(A3,suidou,2,0)*C3),0)</f>
        <v>762</v>
      </c>
      <c r="H4" s="6">
        <f>IF(A3="一般用",VLOOKUP(B3,suidou,3,0),VLOOKUP(A3,suidou,3,0))</f>
        <v>67</v>
      </c>
      <c r="I4" s="6">
        <f>IF(A3="一般用",VLOOKUP(B3,suidou,4,0),VLOOKUP(A3,suidou,4,0))</f>
        <v>85</v>
      </c>
      <c r="J4" s="6">
        <f>IF(A3="一般用",VLOOKUP(B3,suidou,5,0),VLOOKUP(A3,suidou,5,0))</f>
        <v>100</v>
      </c>
      <c r="K4" s="6">
        <f>IF(A3="一般用",VLOOKUP(B3,suidou,6,0),VLOOKUP(A3,suidou,6,0))</f>
        <v>119</v>
      </c>
      <c r="L4" s="6">
        <f>IF(A3="一般用",VLOOKUP(B3,suidou,7,0),VLOOKUP(A3,suidou,7,0))</f>
        <v>143</v>
      </c>
      <c r="M4" s="6">
        <f>IF(A3="一般用",VLOOKUP(B3,suidou,8,0),VLOOKUP(A3,suidou,8,0))</f>
        <v>167</v>
      </c>
      <c r="N4" s="6">
        <f>IF(A3="浴場用",VLOOKUP(A3,suidou,9,0),0)</f>
        <v>0</v>
      </c>
    </row>
    <row r="5" spans="1:14" x14ac:dyDescent="0.4">
      <c r="A5" s="107" t="s">
        <v>20</v>
      </c>
      <c r="B5" s="107"/>
      <c r="C5" s="108">
        <f>G3</f>
        <v>1097</v>
      </c>
      <c r="D5" s="108"/>
      <c r="F5" s="4" t="s">
        <v>19</v>
      </c>
      <c r="G5" s="6">
        <f>SUM(H5:N5)</f>
        <v>335</v>
      </c>
      <c r="H5" s="6">
        <f>H3*H4</f>
        <v>335</v>
      </c>
      <c r="I5" s="6">
        <f t="shared" ref="I5:M5" si="0">I3*I4</f>
        <v>0</v>
      </c>
      <c r="J5" s="6">
        <f t="shared" si="0"/>
        <v>0</v>
      </c>
      <c r="K5" s="6">
        <f t="shared" si="0"/>
        <v>0</v>
      </c>
      <c r="L5" s="6">
        <f t="shared" si="0"/>
        <v>0</v>
      </c>
      <c r="M5" s="6">
        <f t="shared" si="0"/>
        <v>0</v>
      </c>
      <c r="N5" s="6">
        <f>N3*N4</f>
        <v>0</v>
      </c>
    </row>
    <row r="6" spans="1:14" x14ac:dyDescent="0.4">
      <c r="A6" s="107" t="s">
        <v>88</v>
      </c>
      <c r="B6" s="107"/>
      <c r="C6" s="108">
        <f>ROUNDDOWN(C5*0.1,0)</f>
        <v>109</v>
      </c>
      <c r="D6" s="108"/>
      <c r="F6" s="7"/>
      <c r="G6" s="9"/>
      <c r="H6" s="9"/>
      <c r="I6" s="9"/>
      <c r="J6" s="9"/>
      <c r="K6" s="9"/>
      <c r="L6" s="9"/>
      <c r="M6" s="9"/>
      <c r="N6" s="9"/>
    </row>
    <row r="7" spans="1:14" x14ac:dyDescent="0.4">
      <c r="A7" s="110" t="s">
        <v>89</v>
      </c>
      <c r="B7" s="110"/>
      <c r="C7" s="108">
        <f>C5+C6</f>
        <v>1206</v>
      </c>
      <c r="D7" s="108"/>
      <c r="F7" s="102" t="s">
        <v>37</v>
      </c>
      <c r="G7" s="103"/>
      <c r="H7" s="3">
        <f>C3*10</f>
        <v>20</v>
      </c>
      <c r="I7" s="3">
        <f>C3*20</f>
        <v>40</v>
      </c>
      <c r="J7" s="3">
        <f>C3*30</f>
        <v>60</v>
      </c>
      <c r="K7" s="3">
        <f>C3*50</f>
        <v>100</v>
      </c>
      <c r="L7" s="3">
        <f>C3*100</f>
        <v>200</v>
      </c>
      <c r="M7" s="3">
        <f>C3*500</f>
        <v>1000</v>
      </c>
      <c r="N7" s="3" t="str">
        <f>M7+1&amp;"以上"</f>
        <v>1001以上</v>
      </c>
    </row>
    <row r="8" spans="1:14" x14ac:dyDescent="0.4">
      <c r="A8" s="98" t="s">
        <v>34</v>
      </c>
      <c r="B8" s="98"/>
      <c r="C8" s="99">
        <f>G8</f>
        <v>1066</v>
      </c>
      <c r="D8" s="99"/>
      <c r="F8" s="3" t="s">
        <v>33</v>
      </c>
      <c r="G8" s="5">
        <f>SUM(G9:G10)</f>
        <v>1066</v>
      </c>
      <c r="H8" s="6">
        <f>IF(D3&gt;H7,H7,D3)</f>
        <v>5</v>
      </c>
      <c r="I8" s="6">
        <f>IF(D3&lt;H7,0,IF(D3&gt;I7,I7-H7,D3-H7))</f>
        <v>0</v>
      </c>
      <c r="J8" s="6">
        <f>IF(D3&lt;I7,0,IF(D3&gt;J7,J7-I7,D3-I7))</f>
        <v>0</v>
      </c>
      <c r="K8" s="6">
        <f>IF(D3&lt;J7,0,IF(D3&gt;K7,K7-J7,D3-J7))</f>
        <v>0</v>
      </c>
      <c r="L8" s="6">
        <f>IF(D3&lt;K7,0,IF(D3&gt;L7,L7-K7,D3-K7))</f>
        <v>0</v>
      </c>
      <c r="M8" s="6">
        <f>IF(D3&lt;L7,0,IF(D3&gt;M7,M7-L7,D3-L7))</f>
        <v>0</v>
      </c>
      <c r="N8" s="6">
        <f>IF(D3&gt;C3*500,D3-(C3*500),0)</f>
        <v>0</v>
      </c>
    </row>
    <row r="9" spans="1:14" x14ac:dyDescent="0.4">
      <c r="A9" s="98" t="s">
        <v>90</v>
      </c>
      <c r="B9" s="98"/>
      <c r="C9" s="99">
        <f>ROUNDDOWN(C8*0.1,0)</f>
        <v>106</v>
      </c>
      <c r="D9" s="99"/>
      <c r="F9" s="11" t="s">
        <v>16</v>
      </c>
      <c r="G9" s="12">
        <f>IF(A3="浴場用",ROUNDDOWN(G28*C3,0),ROUNDDOWN(G28*C3,0))</f>
        <v>1066</v>
      </c>
      <c r="H9" s="6">
        <f>IF(A3="浴場用",H29,H28)</f>
        <v>0</v>
      </c>
      <c r="I9" s="6">
        <f>IF(A3="浴場用",I29,I28)</f>
        <v>71</v>
      </c>
      <c r="J9" s="6">
        <f>IF(A3="浴場用",J29,J28)</f>
        <v>76</v>
      </c>
      <c r="K9" s="6">
        <f>IF(A3="浴場用",K29,K28)</f>
        <v>81</v>
      </c>
      <c r="L9" s="6">
        <f>IF(A3="浴場用",L29,L28)</f>
        <v>85</v>
      </c>
      <c r="M9" s="6">
        <f>IF(A3="浴場用",M29,M28)</f>
        <v>94</v>
      </c>
      <c r="N9" s="6">
        <f>IF(A3="浴場用",N29,N28)</f>
        <v>114</v>
      </c>
    </row>
    <row r="10" spans="1:14" x14ac:dyDescent="0.4">
      <c r="A10" s="111" t="s">
        <v>91</v>
      </c>
      <c r="B10" s="111"/>
      <c r="C10" s="99">
        <f>C8+C9</f>
        <v>1172</v>
      </c>
      <c r="D10" s="99"/>
      <c r="F10" s="4" t="s">
        <v>19</v>
      </c>
      <c r="G10" s="13">
        <f>SUM(H10:N10)</f>
        <v>0</v>
      </c>
      <c r="H10" s="6">
        <f>H8*H9</f>
        <v>0</v>
      </c>
      <c r="I10" s="6">
        <f>I8*I9</f>
        <v>0</v>
      </c>
      <c r="J10" s="6">
        <f t="shared" ref="J10" si="1">J8*J9</f>
        <v>0</v>
      </c>
      <c r="K10" s="6">
        <f t="shared" ref="K10" si="2">K8*K9</f>
        <v>0</v>
      </c>
      <c r="L10" s="6">
        <f t="shared" ref="L10" si="3">L8*L9</f>
        <v>0</v>
      </c>
      <c r="M10" s="6">
        <f t="shared" ref="M10" si="4">M8*M9</f>
        <v>0</v>
      </c>
      <c r="N10" s="6">
        <f>N8*N9</f>
        <v>0</v>
      </c>
    </row>
    <row r="11" spans="1:14" ht="19.5" thickBot="1" x14ac:dyDescent="0.45">
      <c r="A11" s="109" t="s">
        <v>35</v>
      </c>
      <c r="B11" s="109"/>
      <c r="C11" s="100">
        <f>C7+C10</f>
        <v>2378</v>
      </c>
      <c r="D11" s="100"/>
      <c r="F11" s="7"/>
      <c r="G11" s="9"/>
      <c r="H11" s="9"/>
      <c r="I11" s="9"/>
      <c r="J11" s="9"/>
      <c r="K11" s="9"/>
      <c r="L11" s="9"/>
      <c r="M11" s="9"/>
      <c r="N11" s="9"/>
    </row>
    <row r="12" spans="1:14" ht="20.25" thickTop="1" thickBot="1" x14ac:dyDescent="0.45">
      <c r="A12" s="2" t="s">
        <v>92</v>
      </c>
      <c r="C12" s="100">
        <f>C6+C9</f>
        <v>215</v>
      </c>
      <c r="D12" s="100"/>
      <c r="E12" s="14" t="s">
        <v>26</v>
      </c>
      <c r="N12" s="18" t="s">
        <v>93</v>
      </c>
    </row>
    <row r="13" spans="1:14" ht="20.25" thickTop="1" thickBot="1" x14ac:dyDescent="0.45">
      <c r="A13" s="10" t="s">
        <v>42</v>
      </c>
      <c r="B13" s="23"/>
      <c r="C13" s="23"/>
      <c r="D13" s="23"/>
      <c r="E13" s="15" t="s">
        <v>1</v>
      </c>
      <c r="F13" s="15" t="s">
        <v>2</v>
      </c>
      <c r="G13" s="15" t="s">
        <v>16</v>
      </c>
      <c r="H13" s="15" t="s">
        <v>21</v>
      </c>
      <c r="I13" s="15" t="s">
        <v>22</v>
      </c>
      <c r="J13" s="15" t="s">
        <v>23</v>
      </c>
      <c r="K13" s="15" t="s">
        <v>24</v>
      </c>
      <c r="L13" s="15" t="s">
        <v>25</v>
      </c>
      <c r="M13" s="15" t="s">
        <v>17</v>
      </c>
      <c r="N13" s="15" t="s">
        <v>18</v>
      </c>
    </row>
    <row r="14" spans="1:14" ht="19.5" thickTop="1" x14ac:dyDescent="0.4">
      <c r="A14" s="10" t="s">
        <v>67</v>
      </c>
      <c r="B14" s="23"/>
      <c r="C14" s="23"/>
      <c r="D14" s="23"/>
      <c r="E14" s="104" t="s">
        <v>38</v>
      </c>
      <c r="F14" s="21" t="s">
        <v>5</v>
      </c>
      <c r="G14" s="16">
        <v>238</v>
      </c>
      <c r="H14" s="16">
        <v>67</v>
      </c>
      <c r="I14" s="16">
        <v>85</v>
      </c>
      <c r="J14" s="16">
        <v>100</v>
      </c>
      <c r="K14" s="16">
        <v>119</v>
      </c>
      <c r="L14" s="16">
        <v>143</v>
      </c>
      <c r="M14" s="16">
        <v>167</v>
      </c>
      <c r="N14" s="16">
        <v>0</v>
      </c>
    </row>
    <row r="15" spans="1:14" x14ac:dyDescent="0.4">
      <c r="A15" s="10" t="s">
        <v>68</v>
      </c>
      <c r="B15" s="23"/>
      <c r="C15" s="23"/>
      <c r="D15" s="23"/>
      <c r="E15" s="105"/>
      <c r="F15" s="4" t="s">
        <v>6</v>
      </c>
      <c r="G15" s="6">
        <v>381</v>
      </c>
      <c r="H15" s="6">
        <v>67</v>
      </c>
      <c r="I15" s="6">
        <v>85</v>
      </c>
      <c r="J15" s="6">
        <v>100</v>
      </c>
      <c r="K15" s="6">
        <v>119</v>
      </c>
      <c r="L15" s="6">
        <v>143</v>
      </c>
      <c r="M15" s="6">
        <v>167</v>
      </c>
      <c r="N15" s="6">
        <v>0</v>
      </c>
    </row>
    <row r="16" spans="1:14" x14ac:dyDescent="0.4">
      <c r="A16" s="95" t="s">
        <v>87</v>
      </c>
      <c r="B16" s="64"/>
      <c r="C16" s="65"/>
      <c r="D16" s="64"/>
      <c r="E16" s="105"/>
      <c r="F16" s="4" t="s">
        <v>7</v>
      </c>
      <c r="G16" s="6">
        <v>571</v>
      </c>
      <c r="H16" s="6">
        <v>67</v>
      </c>
      <c r="I16" s="6">
        <v>85</v>
      </c>
      <c r="J16" s="6">
        <v>100</v>
      </c>
      <c r="K16" s="6">
        <v>119</v>
      </c>
      <c r="L16" s="6">
        <v>143</v>
      </c>
      <c r="M16" s="6">
        <v>167</v>
      </c>
      <c r="N16" s="6">
        <v>0</v>
      </c>
    </row>
    <row r="17" spans="1:14" x14ac:dyDescent="0.4">
      <c r="A17" s="23" t="s">
        <v>94</v>
      </c>
      <c r="B17" s="23"/>
      <c r="C17" s="23"/>
      <c r="D17" s="23"/>
      <c r="E17" s="105"/>
      <c r="F17" s="4" t="s">
        <v>8</v>
      </c>
      <c r="G17" s="6">
        <v>1619</v>
      </c>
      <c r="H17" s="6">
        <v>67</v>
      </c>
      <c r="I17" s="6">
        <v>85</v>
      </c>
      <c r="J17" s="6">
        <v>100</v>
      </c>
      <c r="K17" s="6">
        <v>119</v>
      </c>
      <c r="L17" s="6">
        <v>143</v>
      </c>
      <c r="M17" s="6">
        <v>167</v>
      </c>
      <c r="N17" s="6">
        <v>0</v>
      </c>
    </row>
    <row r="18" spans="1:14" x14ac:dyDescent="0.4">
      <c r="A18" s="23"/>
      <c r="B18" s="23"/>
      <c r="C18" s="23"/>
      <c r="D18" s="23"/>
      <c r="E18" s="105"/>
      <c r="F18" s="4" t="s">
        <v>9</v>
      </c>
      <c r="G18" s="6">
        <v>2285</v>
      </c>
      <c r="H18" s="6">
        <v>67</v>
      </c>
      <c r="I18" s="6">
        <v>85</v>
      </c>
      <c r="J18" s="6">
        <v>100</v>
      </c>
      <c r="K18" s="6">
        <v>119</v>
      </c>
      <c r="L18" s="6">
        <v>143</v>
      </c>
      <c r="M18" s="6">
        <v>167</v>
      </c>
      <c r="N18" s="6">
        <v>0</v>
      </c>
    </row>
    <row r="19" spans="1:14" x14ac:dyDescent="0.4">
      <c r="A19" s="23"/>
      <c r="B19" s="23"/>
      <c r="C19" s="23"/>
      <c r="D19" s="23"/>
      <c r="E19" s="105"/>
      <c r="F19" s="4" t="s">
        <v>10</v>
      </c>
      <c r="G19" s="6">
        <v>5523</v>
      </c>
      <c r="H19" s="6">
        <v>67</v>
      </c>
      <c r="I19" s="6">
        <v>85</v>
      </c>
      <c r="J19" s="6">
        <v>100</v>
      </c>
      <c r="K19" s="6">
        <v>119</v>
      </c>
      <c r="L19" s="6">
        <v>143</v>
      </c>
      <c r="M19" s="6">
        <v>167</v>
      </c>
      <c r="N19" s="6">
        <v>0</v>
      </c>
    </row>
    <row r="20" spans="1:14" x14ac:dyDescent="0.4">
      <c r="A20" s="23"/>
      <c r="B20" s="23"/>
      <c r="C20" s="23"/>
      <c r="D20" s="23"/>
      <c r="E20" s="105"/>
      <c r="F20" s="4" t="s">
        <v>11</v>
      </c>
      <c r="G20" s="6">
        <v>8571</v>
      </c>
      <c r="H20" s="6">
        <v>67</v>
      </c>
      <c r="I20" s="6">
        <v>85</v>
      </c>
      <c r="J20" s="6">
        <v>100</v>
      </c>
      <c r="K20" s="6">
        <v>119</v>
      </c>
      <c r="L20" s="6">
        <v>143</v>
      </c>
      <c r="M20" s="6">
        <v>167</v>
      </c>
      <c r="N20" s="6">
        <v>0</v>
      </c>
    </row>
    <row r="21" spans="1:14" x14ac:dyDescent="0.4">
      <c r="A21" s="23"/>
      <c r="B21" s="23"/>
      <c r="C21" s="23"/>
      <c r="D21" s="23"/>
      <c r="E21" s="105"/>
      <c r="F21" s="4" t="s">
        <v>12</v>
      </c>
      <c r="G21" s="6">
        <v>20000</v>
      </c>
      <c r="H21" s="6">
        <v>67</v>
      </c>
      <c r="I21" s="6">
        <v>85</v>
      </c>
      <c r="J21" s="6">
        <v>100</v>
      </c>
      <c r="K21" s="6">
        <v>119</v>
      </c>
      <c r="L21" s="6">
        <v>143</v>
      </c>
      <c r="M21" s="6">
        <v>167</v>
      </c>
      <c r="N21" s="6">
        <v>0</v>
      </c>
    </row>
    <row r="22" spans="1:14" x14ac:dyDescent="0.4">
      <c r="A22" s="23"/>
      <c r="B22" s="23"/>
      <c r="C22" s="23"/>
      <c r="D22" s="23"/>
      <c r="E22" s="106"/>
      <c r="F22" s="4" t="s">
        <v>13</v>
      </c>
      <c r="G22" s="6">
        <v>28571</v>
      </c>
      <c r="H22" s="6">
        <v>67</v>
      </c>
      <c r="I22" s="6">
        <v>85</v>
      </c>
      <c r="J22" s="6">
        <v>100</v>
      </c>
      <c r="K22" s="6">
        <v>119</v>
      </c>
      <c r="L22" s="6">
        <v>143</v>
      </c>
      <c r="M22" s="6">
        <v>167</v>
      </c>
      <c r="N22" s="6">
        <v>0</v>
      </c>
    </row>
    <row r="23" spans="1:14" x14ac:dyDescent="0.4">
      <c r="A23" s="23"/>
      <c r="B23" s="23"/>
      <c r="C23" s="23"/>
      <c r="D23" s="23"/>
      <c r="E23" s="4" t="s">
        <v>14</v>
      </c>
      <c r="F23" s="4" t="s">
        <v>14</v>
      </c>
      <c r="G23" s="6">
        <v>5714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56</v>
      </c>
    </row>
    <row r="24" spans="1:14" x14ac:dyDescent="0.4">
      <c r="A24" s="23"/>
      <c r="B24" s="23"/>
      <c r="C24" s="23"/>
      <c r="D24" s="23"/>
      <c r="E24" s="4" t="s">
        <v>15</v>
      </c>
      <c r="F24" s="4" t="s">
        <v>15</v>
      </c>
      <c r="G24" s="6">
        <v>1619</v>
      </c>
      <c r="H24" s="6">
        <v>228</v>
      </c>
      <c r="I24" s="6">
        <v>228</v>
      </c>
      <c r="J24" s="6">
        <v>228</v>
      </c>
      <c r="K24" s="6">
        <v>228</v>
      </c>
      <c r="L24" s="6">
        <v>228</v>
      </c>
      <c r="M24" s="6">
        <v>228</v>
      </c>
      <c r="N24" s="6">
        <v>0</v>
      </c>
    </row>
    <row r="25" spans="1:14" x14ac:dyDescent="0.4">
      <c r="A25" s="23"/>
      <c r="B25" s="23"/>
      <c r="C25" s="23"/>
      <c r="D25" s="23"/>
    </row>
    <row r="26" spans="1:14" x14ac:dyDescent="0.4">
      <c r="A26" s="23"/>
      <c r="B26" s="23"/>
      <c r="C26" s="23"/>
      <c r="D26" s="23"/>
      <c r="E26" s="14" t="s">
        <v>27</v>
      </c>
      <c r="N26" s="18" t="s">
        <v>93</v>
      </c>
    </row>
    <row r="27" spans="1:14" ht="19.5" thickBot="1" x14ac:dyDescent="0.45">
      <c r="A27" s="23"/>
      <c r="B27" s="23"/>
      <c r="C27" s="23"/>
      <c r="D27" s="23"/>
      <c r="E27" s="15" t="s">
        <v>1</v>
      </c>
      <c r="F27" s="15" t="s">
        <v>31</v>
      </c>
      <c r="G27" s="15" t="s">
        <v>16</v>
      </c>
      <c r="H27" s="15" t="s">
        <v>21</v>
      </c>
      <c r="I27" s="15" t="s">
        <v>22</v>
      </c>
      <c r="J27" s="15" t="s">
        <v>23</v>
      </c>
      <c r="K27" s="15" t="s">
        <v>24</v>
      </c>
      <c r="L27" s="15" t="s">
        <v>28</v>
      </c>
      <c r="M27" s="15" t="s">
        <v>29</v>
      </c>
      <c r="N27" s="15" t="s">
        <v>30</v>
      </c>
    </row>
    <row r="28" spans="1:14" ht="19.5" thickTop="1" x14ac:dyDescent="0.4">
      <c r="A28" s="23"/>
      <c r="B28" s="23"/>
      <c r="C28" s="23"/>
      <c r="D28" s="23"/>
      <c r="E28" s="19" t="s">
        <v>39</v>
      </c>
      <c r="F28" s="20" t="s">
        <v>32</v>
      </c>
      <c r="G28" s="17">
        <v>533</v>
      </c>
      <c r="H28" s="17">
        <v>0</v>
      </c>
      <c r="I28" s="17">
        <v>71</v>
      </c>
      <c r="J28" s="17">
        <v>76</v>
      </c>
      <c r="K28" s="17">
        <v>81</v>
      </c>
      <c r="L28" s="17">
        <v>85</v>
      </c>
      <c r="M28" s="17">
        <v>94</v>
      </c>
      <c r="N28" s="17">
        <v>114</v>
      </c>
    </row>
    <row r="29" spans="1:14" x14ac:dyDescent="0.4">
      <c r="A29" s="23"/>
      <c r="B29" s="23"/>
      <c r="C29" s="23"/>
      <c r="D29" s="23"/>
      <c r="E29" s="4" t="s">
        <v>40</v>
      </c>
      <c r="F29" s="4" t="s">
        <v>41</v>
      </c>
      <c r="G29" s="6">
        <v>0</v>
      </c>
      <c r="H29" s="6">
        <v>52</v>
      </c>
      <c r="I29" s="6">
        <v>52</v>
      </c>
      <c r="J29" s="6">
        <v>52</v>
      </c>
      <c r="K29" s="6">
        <v>52</v>
      </c>
      <c r="L29" s="6">
        <v>52</v>
      </c>
      <c r="M29" s="6">
        <v>52</v>
      </c>
      <c r="N29" s="6">
        <v>52</v>
      </c>
    </row>
    <row r="30" spans="1:14" x14ac:dyDescent="0.4">
      <c r="A30" s="23"/>
      <c r="B30" s="23"/>
      <c r="C30" s="23"/>
      <c r="D30" s="23"/>
    </row>
    <row r="31" spans="1:14" x14ac:dyDescent="0.4">
      <c r="A31" s="23"/>
      <c r="B31" s="23"/>
      <c r="C31" s="23"/>
      <c r="D31" s="23"/>
    </row>
    <row r="32" spans="1:14" x14ac:dyDescent="0.4">
      <c r="A32" s="23"/>
      <c r="B32" s="23"/>
      <c r="C32" s="23"/>
      <c r="D32" s="23"/>
    </row>
    <row r="33" spans="1:4" x14ac:dyDescent="0.4">
      <c r="A33" s="23"/>
      <c r="B33" s="23"/>
      <c r="C33" s="23"/>
      <c r="D33" s="23"/>
    </row>
  </sheetData>
  <mergeCells count="19">
    <mergeCell ref="E14:E22"/>
    <mergeCell ref="A5:B5"/>
    <mergeCell ref="A8:B8"/>
    <mergeCell ref="C5:D5"/>
    <mergeCell ref="C8:D8"/>
    <mergeCell ref="A11:B11"/>
    <mergeCell ref="C11:D11"/>
    <mergeCell ref="A7:B7"/>
    <mergeCell ref="C7:D7"/>
    <mergeCell ref="A6:B6"/>
    <mergeCell ref="C6:D6"/>
    <mergeCell ref="A10:B10"/>
    <mergeCell ref="C10:D10"/>
    <mergeCell ref="A9:B9"/>
    <mergeCell ref="C9:D9"/>
    <mergeCell ref="C12:D12"/>
    <mergeCell ref="L1:N1"/>
    <mergeCell ref="F2:G2"/>
    <mergeCell ref="F7:G7"/>
  </mergeCells>
  <phoneticPr fontId="1"/>
  <dataValidations count="1">
    <dataValidation type="list" allowBlank="1" showInputMessage="1" showErrorMessage="1" sqref="A3:D3" xr:uid="{00000000-0002-0000-0000-000002000000}">
      <formula1>"一般用,浴場用,臨時用"</formula1>
    </dataValidation>
  </dataValidations>
  <pageMargins left="0.51181102362204722" right="0.31496062992125984" top="0.35433070866141736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V35"/>
  <sheetViews>
    <sheetView tabSelected="1" view="pageBreakPreview" zoomScaleNormal="100" zoomScaleSheetLayoutView="100" workbookViewId="0">
      <selection activeCell="J7" sqref="J7"/>
    </sheetView>
  </sheetViews>
  <sheetFormatPr defaultRowHeight="19.5" x14ac:dyDescent="0.4"/>
  <cols>
    <col min="1" max="1" width="4.625" style="66" customWidth="1"/>
    <col min="2" max="2" width="3.625" style="66" customWidth="1"/>
    <col min="3" max="6" width="9" style="66"/>
    <col min="7" max="7" width="4.625" style="66" customWidth="1"/>
    <col min="8" max="8" width="3.625" style="66" customWidth="1"/>
    <col min="9" max="9" width="4.625" style="66" customWidth="1"/>
    <col min="10" max="10" width="6.625" style="67" customWidth="1"/>
    <col min="11" max="11" width="3.375" style="47" bestFit="1" customWidth="1"/>
    <col min="12" max="12" width="3.375" style="48" bestFit="1" customWidth="1"/>
    <col min="13" max="13" width="6.625" style="67" customWidth="1"/>
    <col min="14" max="14" width="7.125" style="47" bestFit="1" customWidth="1"/>
    <col min="15" max="15" width="6.625" style="46" customWidth="1"/>
    <col min="16" max="16" width="3.75" style="47" bestFit="1" customWidth="1"/>
    <col min="17" max="17" width="3.375" style="48" bestFit="1" customWidth="1"/>
    <col min="18" max="18" width="6.625" style="49" customWidth="1"/>
    <col min="19" max="19" width="3.375" style="47" bestFit="1" customWidth="1"/>
    <col min="20" max="20" width="3.75" style="48" bestFit="1" customWidth="1"/>
    <col min="21" max="21" width="10.625" style="46" customWidth="1"/>
    <col min="22" max="22" width="3.375" style="47" bestFit="1" customWidth="1"/>
    <col min="23" max="16384" width="9" style="66"/>
  </cols>
  <sheetData>
    <row r="1" spans="2:22" ht="20.25" thickBot="1" x14ac:dyDescent="0.45">
      <c r="B1" s="117" t="s">
        <v>0</v>
      </c>
      <c r="C1" s="117"/>
      <c r="D1" s="117"/>
      <c r="E1" s="117"/>
      <c r="F1" s="117"/>
      <c r="G1" s="117"/>
      <c r="H1" s="117"/>
    </row>
    <row r="2" spans="2:22" x14ac:dyDescent="0.35">
      <c r="B2" s="68"/>
      <c r="C2" s="92" t="s">
        <v>84</v>
      </c>
      <c r="D2" s="69"/>
      <c r="E2" s="69"/>
      <c r="F2" s="69"/>
      <c r="G2" s="69"/>
      <c r="H2" s="70"/>
      <c r="J2" s="67" t="s">
        <v>51</v>
      </c>
    </row>
    <row r="3" spans="2:22" x14ac:dyDescent="0.4">
      <c r="B3" s="71"/>
      <c r="C3" s="22" t="s">
        <v>1</v>
      </c>
      <c r="D3" s="22" t="s">
        <v>2</v>
      </c>
      <c r="E3" s="22" t="s">
        <v>3</v>
      </c>
      <c r="F3" s="125" t="s">
        <v>72</v>
      </c>
      <c r="G3" s="126"/>
      <c r="H3" s="72"/>
      <c r="J3" s="116" t="s">
        <v>75</v>
      </c>
      <c r="K3" s="116"/>
      <c r="L3" s="116"/>
      <c r="M3" s="116"/>
      <c r="N3" s="116"/>
      <c r="O3" s="50"/>
      <c r="P3" s="51"/>
      <c r="Q3" s="52"/>
      <c r="R3" s="53" t="str">
        <f>IF(C4="浴場用",100*E4,"")</f>
        <v/>
      </c>
      <c r="S3" s="28" t="str">
        <f>IF(C4="浴場用","㎥まで","")</f>
        <v/>
      </c>
      <c r="T3" s="52"/>
      <c r="U3" s="50">
        <f>計算表!G4</f>
        <v>762</v>
      </c>
      <c r="V3" s="51" t="s">
        <v>45</v>
      </c>
    </row>
    <row r="4" spans="2:22" x14ac:dyDescent="0.4">
      <c r="B4" s="71"/>
      <c r="C4" s="93" t="s">
        <v>43</v>
      </c>
      <c r="D4" s="93" t="s">
        <v>95</v>
      </c>
      <c r="E4" s="94">
        <v>2</v>
      </c>
      <c r="F4" s="90">
        <v>5</v>
      </c>
      <c r="G4" s="91" t="s">
        <v>85</v>
      </c>
      <c r="H4" s="72"/>
      <c r="J4" s="119" t="s">
        <v>53</v>
      </c>
      <c r="K4" s="119"/>
      <c r="L4" s="119"/>
      <c r="M4" s="119"/>
      <c r="N4" s="119"/>
      <c r="O4" s="24" t="s">
        <v>82</v>
      </c>
      <c r="P4" s="25"/>
      <c r="Q4" s="25"/>
      <c r="R4" s="26" t="s">
        <v>83</v>
      </c>
      <c r="S4" s="25"/>
      <c r="T4" s="25"/>
      <c r="U4" s="24" t="s">
        <v>74</v>
      </c>
      <c r="V4" s="25"/>
    </row>
    <row r="5" spans="2:22" x14ac:dyDescent="0.4">
      <c r="B5" s="71"/>
      <c r="C5" s="73"/>
      <c r="D5" s="73"/>
      <c r="E5" s="74"/>
      <c r="F5" s="73"/>
      <c r="G5" s="73"/>
      <c r="H5" s="72"/>
      <c r="J5" s="27">
        <v>1</v>
      </c>
      <c r="K5" s="28" t="s">
        <v>48</v>
      </c>
      <c r="L5" s="29" t="s">
        <v>44</v>
      </c>
      <c r="M5" s="27">
        <f>計算表!H2</f>
        <v>20</v>
      </c>
      <c r="N5" s="28" t="s">
        <v>49</v>
      </c>
      <c r="O5" s="30">
        <f>計算表!H4</f>
        <v>67</v>
      </c>
      <c r="P5" s="28" t="s">
        <v>45</v>
      </c>
      <c r="Q5" s="29" t="s">
        <v>46</v>
      </c>
      <c r="R5" s="31">
        <f>計算表!H3</f>
        <v>5</v>
      </c>
      <c r="S5" s="28" t="s">
        <v>71</v>
      </c>
      <c r="T5" s="29" t="s">
        <v>47</v>
      </c>
      <c r="U5" s="30">
        <f>計算表!H5</f>
        <v>335</v>
      </c>
      <c r="V5" s="28" t="s">
        <v>45</v>
      </c>
    </row>
    <row r="6" spans="2:22" x14ac:dyDescent="0.4">
      <c r="B6" s="71"/>
      <c r="C6" s="120" t="s">
        <v>20</v>
      </c>
      <c r="D6" s="120"/>
      <c r="E6" s="121">
        <f>計算表!C5</f>
        <v>1097</v>
      </c>
      <c r="F6" s="122"/>
      <c r="G6" s="87" t="s">
        <v>70</v>
      </c>
      <c r="H6" s="72"/>
      <c r="J6" s="32">
        <f>M5+1</f>
        <v>21</v>
      </c>
      <c r="K6" s="33" t="s">
        <v>48</v>
      </c>
      <c r="L6" s="34" t="s">
        <v>44</v>
      </c>
      <c r="M6" s="32">
        <f>計算表!I2</f>
        <v>40</v>
      </c>
      <c r="N6" s="33" t="s">
        <v>49</v>
      </c>
      <c r="O6" s="35">
        <f>計算表!I4</f>
        <v>85</v>
      </c>
      <c r="P6" s="33" t="s">
        <v>45</v>
      </c>
      <c r="Q6" s="34" t="s">
        <v>46</v>
      </c>
      <c r="R6" s="36">
        <f>計算表!I3</f>
        <v>0</v>
      </c>
      <c r="S6" s="33" t="s">
        <v>48</v>
      </c>
      <c r="T6" s="34" t="s">
        <v>47</v>
      </c>
      <c r="U6" s="35">
        <f>計算表!I5</f>
        <v>0</v>
      </c>
      <c r="V6" s="33" t="s">
        <v>45</v>
      </c>
    </row>
    <row r="7" spans="2:22" x14ac:dyDescent="0.4">
      <c r="B7" s="71"/>
      <c r="C7" s="120" t="s">
        <v>34</v>
      </c>
      <c r="D7" s="120"/>
      <c r="E7" s="121">
        <f>計算表!C8</f>
        <v>1066</v>
      </c>
      <c r="F7" s="122"/>
      <c r="G7" s="87" t="s">
        <v>70</v>
      </c>
      <c r="H7" s="72"/>
      <c r="J7" s="32">
        <f t="shared" ref="J7:J10" si="0">M6+1</f>
        <v>41</v>
      </c>
      <c r="K7" s="33" t="s">
        <v>48</v>
      </c>
      <c r="L7" s="34" t="s">
        <v>44</v>
      </c>
      <c r="M7" s="32">
        <f>計算表!J2</f>
        <v>60</v>
      </c>
      <c r="N7" s="33" t="s">
        <v>49</v>
      </c>
      <c r="O7" s="35">
        <f>計算表!J4</f>
        <v>100</v>
      </c>
      <c r="P7" s="33" t="s">
        <v>45</v>
      </c>
      <c r="Q7" s="34" t="s">
        <v>46</v>
      </c>
      <c r="R7" s="36">
        <f>計算表!J3</f>
        <v>0</v>
      </c>
      <c r="S7" s="33" t="s">
        <v>48</v>
      </c>
      <c r="T7" s="34" t="s">
        <v>47</v>
      </c>
      <c r="U7" s="35">
        <f>計算表!J5</f>
        <v>0</v>
      </c>
      <c r="V7" s="33" t="s">
        <v>45</v>
      </c>
    </row>
    <row r="8" spans="2:22" x14ac:dyDescent="0.4">
      <c r="B8" s="71"/>
      <c r="C8" s="75"/>
      <c r="D8" s="75"/>
      <c r="E8" s="75"/>
      <c r="F8" s="75"/>
      <c r="G8" s="88"/>
      <c r="H8" s="72"/>
      <c r="J8" s="32">
        <f t="shared" si="0"/>
        <v>61</v>
      </c>
      <c r="K8" s="33" t="s">
        <v>48</v>
      </c>
      <c r="L8" s="34" t="s">
        <v>44</v>
      </c>
      <c r="M8" s="32">
        <f>計算表!K2</f>
        <v>100</v>
      </c>
      <c r="N8" s="33" t="s">
        <v>49</v>
      </c>
      <c r="O8" s="35">
        <f>計算表!K4</f>
        <v>119</v>
      </c>
      <c r="P8" s="33" t="s">
        <v>45</v>
      </c>
      <c r="Q8" s="34" t="s">
        <v>46</v>
      </c>
      <c r="R8" s="36">
        <f>計算表!K3</f>
        <v>0</v>
      </c>
      <c r="S8" s="33" t="s">
        <v>48</v>
      </c>
      <c r="T8" s="34" t="s">
        <v>47</v>
      </c>
      <c r="U8" s="35">
        <f>計算表!K5</f>
        <v>0</v>
      </c>
      <c r="V8" s="33" t="s">
        <v>45</v>
      </c>
    </row>
    <row r="9" spans="2:22" ht="20.25" thickBot="1" x14ac:dyDescent="0.45">
      <c r="B9" s="71"/>
      <c r="C9" s="123" t="s">
        <v>35</v>
      </c>
      <c r="D9" s="123"/>
      <c r="E9" s="124">
        <f>計算表!C11</f>
        <v>2378</v>
      </c>
      <c r="F9" s="124"/>
      <c r="G9" s="89" t="s">
        <v>70</v>
      </c>
      <c r="H9" s="72"/>
      <c r="J9" s="32">
        <f t="shared" si="0"/>
        <v>101</v>
      </c>
      <c r="K9" s="33" t="s">
        <v>48</v>
      </c>
      <c r="L9" s="34" t="s">
        <v>44</v>
      </c>
      <c r="M9" s="32">
        <f>計算表!L2</f>
        <v>140</v>
      </c>
      <c r="N9" s="33" t="s">
        <v>49</v>
      </c>
      <c r="O9" s="35">
        <f>計算表!L4</f>
        <v>143</v>
      </c>
      <c r="P9" s="33" t="s">
        <v>45</v>
      </c>
      <c r="Q9" s="34" t="s">
        <v>46</v>
      </c>
      <c r="R9" s="36">
        <f>計算表!L3</f>
        <v>0</v>
      </c>
      <c r="S9" s="33" t="s">
        <v>48</v>
      </c>
      <c r="T9" s="34" t="s">
        <v>47</v>
      </c>
      <c r="U9" s="35">
        <f>計算表!L5</f>
        <v>0</v>
      </c>
      <c r="V9" s="33" t="s">
        <v>45</v>
      </c>
    </row>
    <row r="10" spans="2:22" ht="21" thickTop="1" thickBot="1" x14ac:dyDescent="0.45">
      <c r="B10" s="77"/>
      <c r="C10" s="78"/>
      <c r="D10" s="78"/>
      <c r="E10" s="78"/>
      <c r="F10" s="78"/>
      <c r="G10" s="78"/>
      <c r="H10" s="79"/>
      <c r="J10" s="32">
        <f t="shared" si="0"/>
        <v>141</v>
      </c>
      <c r="K10" s="33" t="s">
        <v>48</v>
      </c>
      <c r="L10" s="34" t="s">
        <v>44</v>
      </c>
      <c r="M10" s="32"/>
      <c r="N10" s="33"/>
      <c r="O10" s="35">
        <f>計算表!M4</f>
        <v>167</v>
      </c>
      <c r="P10" s="33" t="s">
        <v>45</v>
      </c>
      <c r="Q10" s="34" t="s">
        <v>46</v>
      </c>
      <c r="R10" s="36">
        <f>計算表!M3</f>
        <v>0</v>
      </c>
      <c r="S10" s="33" t="s">
        <v>48</v>
      </c>
      <c r="T10" s="34" t="s">
        <v>47</v>
      </c>
      <c r="U10" s="35">
        <f>計算表!M5</f>
        <v>0</v>
      </c>
      <c r="V10" s="33" t="s">
        <v>45</v>
      </c>
    </row>
    <row r="11" spans="2:22" x14ac:dyDescent="0.4">
      <c r="H11" s="80" t="s">
        <v>57</v>
      </c>
      <c r="J11" s="37" t="str">
        <f>IF(C4="浴場用",R3+1,"")</f>
        <v/>
      </c>
      <c r="K11" s="38" t="str">
        <f>IF(J11="","","㎥")</f>
        <v/>
      </c>
      <c r="L11" s="39" t="str">
        <f>IF(J11="","","～")</f>
        <v/>
      </c>
      <c r="M11" s="37"/>
      <c r="N11" s="38"/>
      <c r="O11" s="40" t="str">
        <f>IF(C4="浴場用",計算表!N4,"")</f>
        <v/>
      </c>
      <c r="P11" s="38" t="str">
        <f>IF(O11="","","円")</f>
        <v/>
      </c>
      <c r="Q11" s="39" t="str">
        <f>IF(O11="","","×")</f>
        <v/>
      </c>
      <c r="R11" s="41" t="str">
        <f>IF(C4="浴場用",計算表!N3,"")</f>
        <v/>
      </c>
      <c r="S11" s="38" t="str">
        <f>IF(R11="","","㎥")</f>
        <v/>
      </c>
      <c r="T11" s="39" t="str">
        <f>IF(R11="","","＝")</f>
        <v/>
      </c>
      <c r="U11" s="40" t="str">
        <f>IF(C4="浴場用",計算表!N5,"")</f>
        <v/>
      </c>
      <c r="V11" s="38" t="str">
        <f>IF(U11="","","円")</f>
        <v/>
      </c>
    </row>
    <row r="12" spans="2:22" ht="20.25" thickBot="1" x14ac:dyDescent="0.45">
      <c r="B12" s="81" t="s">
        <v>56</v>
      </c>
      <c r="C12" s="76"/>
      <c r="D12" s="76"/>
      <c r="J12" s="114" t="s">
        <v>76</v>
      </c>
      <c r="K12" s="114"/>
      <c r="L12" s="114"/>
      <c r="M12" s="114"/>
      <c r="N12" s="114"/>
      <c r="O12" s="42"/>
      <c r="P12" s="43"/>
      <c r="Q12" s="44"/>
      <c r="R12" s="45"/>
      <c r="S12" s="43"/>
      <c r="T12" s="44" t="s">
        <v>50</v>
      </c>
      <c r="U12" s="42">
        <f>計算表!G5</f>
        <v>335</v>
      </c>
      <c r="V12" s="43" t="s">
        <v>45</v>
      </c>
    </row>
    <row r="13" spans="2:22" ht="20.25" thickTop="1" x14ac:dyDescent="0.4">
      <c r="B13" s="82" t="s">
        <v>55</v>
      </c>
      <c r="C13" s="83" t="s">
        <v>58</v>
      </c>
      <c r="D13" s="76"/>
      <c r="E13" s="76"/>
      <c r="F13" s="76"/>
      <c r="G13" s="76"/>
      <c r="H13" s="76"/>
      <c r="J13" s="115" t="s">
        <v>77</v>
      </c>
      <c r="K13" s="115"/>
      <c r="L13" s="115"/>
      <c r="M13" s="115"/>
      <c r="N13" s="115"/>
      <c r="T13" s="48" t="s">
        <v>50</v>
      </c>
      <c r="U13" s="46">
        <f>計算表!G3</f>
        <v>1097</v>
      </c>
      <c r="V13" s="47" t="s">
        <v>45</v>
      </c>
    </row>
    <row r="14" spans="2:22" x14ac:dyDescent="0.4">
      <c r="B14" s="82" t="s">
        <v>55</v>
      </c>
      <c r="C14" s="81" t="s">
        <v>69</v>
      </c>
      <c r="D14" s="76"/>
      <c r="E14" s="76"/>
      <c r="F14" s="76"/>
      <c r="G14" s="76"/>
      <c r="H14" s="76"/>
    </row>
    <row r="15" spans="2:22" x14ac:dyDescent="0.4">
      <c r="B15" s="82" t="s">
        <v>55</v>
      </c>
      <c r="C15" s="81" t="s">
        <v>79</v>
      </c>
      <c r="D15" s="76"/>
      <c r="E15" s="76"/>
      <c r="F15" s="76"/>
      <c r="G15" s="76"/>
      <c r="H15" s="76"/>
      <c r="J15" s="67" t="s">
        <v>52</v>
      </c>
    </row>
    <row r="16" spans="2:22" x14ac:dyDescent="0.4">
      <c r="B16" s="82" t="s">
        <v>55</v>
      </c>
      <c r="C16" s="81" t="s">
        <v>73</v>
      </c>
      <c r="D16" s="76"/>
      <c r="E16" s="76"/>
      <c r="F16" s="76"/>
      <c r="G16" s="76"/>
      <c r="H16" s="76"/>
      <c r="J16" s="116" t="s">
        <v>75</v>
      </c>
      <c r="K16" s="116"/>
      <c r="L16" s="116"/>
      <c r="M16" s="116"/>
      <c r="N16" s="116"/>
      <c r="O16" s="50"/>
      <c r="P16" s="51"/>
      <c r="Q16" s="52"/>
      <c r="R16" s="27">
        <f>IF(C4="浴場用","",10*E4)</f>
        <v>20</v>
      </c>
      <c r="S16" s="28" t="str">
        <f>IF(C4="浴場用","","㎥まで")</f>
        <v>㎥まで</v>
      </c>
      <c r="T16" s="52"/>
      <c r="U16" s="50">
        <f>計算表!G9</f>
        <v>1066</v>
      </c>
      <c r="V16" s="51" t="s">
        <v>45</v>
      </c>
    </row>
    <row r="17" spans="2:22" x14ac:dyDescent="0.4">
      <c r="B17" s="80" t="s">
        <v>80</v>
      </c>
      <c r="C17" s="86" t="s">
        <v>81</v>
      </c>
      <c r="J17" s="119" t="s">
        <v>54</v>
      </c>
      <c r="K17" s="119"/>
      <c r="L17" s="119"/>
      <c r="M17" s="119"/>
      <c r="N17" s="119"/>
      <c r="O17" s="24" t="s">
        <v>82</v>
      </c>
      <c r="P17" s="25"/>
      <c r="Q17" s="25"/>
      <c r="R17" s="26" t="s">
        <v>83</v>
      </c>
      <c r="S17" s="25"/>
      <c r="T17" s="25"/>
      <c r="U17" s="24" t="s">
        <v>74</v>
      </c>
      <c r="V17" s="25"/>
    </row>
    <row r="18" spans="2:22" x14ac:dyDescent="0.4">
      <c r="J18" s="54">
        <f>IF(C4="浴場用",1,R16+1)</f>
        <v>21</v>
      </c>
      <c r="K18" s="55" t="s">
        <v>48</v>
      </c>
      <c r="L18" s="56" t="s">
        <v>44</v>
      </c>
      <c r="M18" s="54">
        <f>計算表!I7</f>
        <v>40</v>
      </c>
      <c r="N18" s="55" t="s">
        <v>49</v>
      </c>
      <c r="O18" s="57">
        <f>計算表!I9</f>
        <v>71</v>
      </c>
      <c r="P18" s="55" t="s">
        <v>45</v>
      </c>
      <c r="Q18" s="56" t="s">
        <v>46</v>
      </c>
      <c r="R18" s="58">
        <f>IF(C4="浴場用",計算表!H8+計算表!I8,計算表!I8)</f>
        <v>0</v>
      </c>
      <c r="S18" s="55" t="s">
        <v>48</v>
      </c>
      <c r="T18" s="56" t="s">
        <v>47</v>
      </c>
      <c r="U18" s="57">
        <f>IF(C4="浴場用",計算表!H10+計算表!I10,計算表!I10)</f>
        <v>0</v>
      </c>
      <c r="V18" s="55" t="s">
        <v>45</v>
      </c>
    </row>
    <row r="19" spans="2:22" x14ac:dyDescent="0.4">
      <c r="B19" s="118" t="s">
        <v>63</v>
      </c>
      <c r="C19" s="118"/>
      <c r="D19" s="118"/>
      <c r="E19" s="118"/>
      <c r="F19" s="118"/>
      <c r="G19" s="84"/>
      <c r="J19" s="32">
        <f>M18+1</f>
        <v>41</v>
      </c>
      <c r="K19" s="33" t="s">
        <v>48</v>
      </c>
      <c r="L19" s="34" t="s">
        <v>44</v>
      </c>
      <c r="M19" s="32">
        <f>計算表!J7</f>
        <v>60</v>
      </c>
      <c r="N19" s="33" t="s">
        <v>49</v>
      </c>
      <c r="O19" s="35">
        <f>計算表!J9</f>
        <v>76</v>
      </c>
      <c r="P19" s="33" t="s">
        <v>45</v>
      </c>
      <c r="Q19" s="34" t="s">
        <v>46</v>
      </c>
      <c r="R19" s="36">
        <f>計算表!J8</f>
        <v>0</v>
      </c>
      <c r="S19" s="33" t="s">
        <v>48</v>
      </c>
      <c r="T19" s="34" t="s">
        <v>47</v>
      </c>
      <c r="U19" s="35">
        <f>計算表!J10</f>
        <v>0</v>
      </c>
      <c r="V19" s="33" t="s">
        <v>45</v>
      </c>
    </row>
    <row r="20" spans="2:22" x14ac:dyDescent="0.4">
      <c r="B20" s="80" t="s">
        <v>59</v>
      </c>
      <c r="C20" s="85" t="s">
        <v>60</v>
      </c>
      <c r="D20" s="85"/>
      <c r="E20" s="85"/>
      <c r="F20" s="85"/>
      <c r="G20" s="85"/>
      <c r="H20" s="85"/>
      <c r="J20" s="32">
        <f t="shared" ref="J20:J22" si="1">M19+1</f>
        <v>61</v>
      </c>
      <c r="K20" s="33" t="s">
        <v>48</v>
      </c>
      <c r="L20" s="34" t="s">
        <v>44</v>
      </c>
      <c r="M20" s="32">
        <f>計算表!K7</f>
        <v>100</v>
      </c>
      <c r="N20" s="33" t="s">
        <v>49</v>
      </c>
      <c r="O20" s="35">
        <f>計算表!K9</f>
        <v>81</v>
      </c>
      <c r="P20" s="33" t="s">
        <v>45</v>
      </c>
      <c r="Q20" s="34" t="s">
        <v>46</v>
      </c>
      <c r="R20" s="36">
        <f>計算表!K8</f>
        <v>0</v>
      </c>
      <c r="S20" s="33" t="s">
        <v>48</v>
      </c>
      <c r="T20" s="34" t="s">
        <v>47</v>
      </c>
      <c r="U20" s="35">
        <f>計算表!K10</f>
        <v>0</v>
      </c>
      <c r="V20" s="33" t="s">
        <v>45</v>
      </c>
    </row>
    <row r="21" spans="2:22" x14ac:dyDescent="0.4">
      <c r="B21" s="85"/>
      <c r="C21" s="85" t="s">
        <v>62</v>
      </c>
      <c r="D21" s="85"/>
      <c r="E21" s="85"/>
      <c r="F21" s="85"/>
      <c r="G21" s="85"/>
      <c r="H21" s="85"/>
      <c r="J21" s="32">
        <f t="shared" si="1"/>
        <v>101</v>
      </c>
      <c r="K21" s="33" t="s">
        <v>48</v>
      </c>
      <c r="L21" s="34" t="s">
        <v>44</v>
      </c>
      <c r="M21" s="32">
        <f>計算表!L7</f>
        <v>200</v>
      </c>
      <c r="N21" s="33" t="s">
        <v>49</v>
      </c>
      <c r="O21" s="35">
        <f>計算表!L9</f>
        <v>85</v>
      </c>
      <c r="P21" s="33" t="s">
        <v>45</v>
      </c>
      <c r="Q21" s="34" t="s">
        <v>46</v>
      </c>
      <c r="R21" s="36">
        <f>計算表!L8</f>
        <v>0</v>
      </c>
      <c r="S21" s="33" t="s">
        <v>48</v>
      </c>
      <c r="T21" s="34" t="s">
        <v>47</v>
      </c>
      <c r="U21" s="35">
        <f>計算表!L10</f>
        <v>0</v>
      </c>
      <c r="V21" s="33" t="s">
        <v>45</v>
      </c>
    </row>
    <row r="22" spans="2:22" x14ac:dyDescent="0.4">
      <c r="B22" s="85"/>
      <c r="C22" s="85" t="s">
        <v>61</v>
      </c>
      <c r="D22" s="85"/>
      <c r="E22" s="85"/>
      <c r="F22" s="85"/>
      <c r="G22" s="85"/>
      <c r="H22" s="85"/>
      <c r="J22" s="32">
        <f t="shared" si="1"/>
        <v>201</v>
      </c>
      <c r="K22" s="33" t="s">
        <v>48</v>
      </c>
      <c r="L22" s="34" t="s">
        <v>44</v>
      </c>
      <c r="M22" s="96">
        <f>計算表!M7</f>
        <v>1000</v>
      </c>
      <c r="N22" s="33" t="s">
        <v>49</v>
      </c>
      <c r="O22" s="35">
        <f>計算表!M9</f>
        <v>94</v>
      </c>
      <c r="P22" s="33" t="s">
        <v>45</v>
      </c>
      <c r="Q22" s="34" t="s">
        <v>46</v>
      </c>
      <c r="R22" s="36">
        <f>計算表!M8</f>
        <v>0</v>
      </c>
      <c r="S22" s="33" t="s">
        <v>48</v>
      </c>
      <c r="T22" s="34" t="s">
        <v>47</v>
      </c>
      <c r="U22" s="35">
        <f>計算表!M10</f>
        <v>0</v>
      </c>
      <c r="V22" s="33" t="s">
        <v>45</v>
      </c>
    </row>
    <row r="23" spans="2:22" x14ac:dyDescent="0.4">
      <c r="B23" s="85"/>
      <c r="C23" s="85" t="s">
        <v>65</v>
      </c>
      <c r="D23" s="85"/>
      <c r="E23" s="85"/>
      <c r="F23" s="85"/>
      <c r="G23" s="85"/>
      <c r="H23" s="85"/>
      <c r="J23" s="97">
        <f>M22+1</f>
        <v>1001</v>
      </c>
      <c r="K23" s="60" t="s">
        <v>48</v>
      </c>
      <c r="L23" s="61" t="s">
        <v>44</v>
      </c>
      <c r="M23" s="59"/>
      <c r="N23" s="60"/>
      <c r="O23" s="62">
        <f>計算表!N9</f>
        <v>114</v>
      </c>
      <c r="P23" s="60" t="s">
        <v>45</v>
      </c>
      <c r="Q23" s="61" t="s">
        <v>46</v>
      </c>
      <c r="R23" s="63">
        <f>計算表!N8</f>
        <v>0</v>
      </c>
      <c r="S23" s="60" t="s">
        <v>48</v>
      </c>
      <c r="T23" s="61" t="s">
        <v>47</v>
      </c>
      <c r="U23" s="62">
        <f>計算表!N10</f>
        <v>0</v>
      </c>
      <c r="V23" s="60" t="s">
        <v>45</v>
      </c>
    </row>
    <row r="24" spans="2:22" ht="20.25" thickBot="1" x14ac:dyDescent="0.45">
      <c r="B24" s="85"/>
      <c r="C24" s="85" t="s">
        <v>64</v>
      </c>
      <c r="D24" s="85"/>
      <c r="E24" s="85"/>
      <c r="F24" s="85"/>
      <c r="G24" s="85"/>
      <c r="H24" s="85"/>
      <c r="J24" s="114" t="s">
        <v>76</v>
      </c>
      <c r="K24" s="114"/>
      <c r="L24" s="114"/>
      <c r="M24" s="114"/>
      <c r="N24" s="114"/>
      <c r="O24" s="42"/>
      <c r="P24" s="43"/>
      <c r="Q24" s="44"/>
      <c r="R24" s="45"/>
      <c r="S24" s="43"/>
      <c r="T24" s="44" t="s">
        <v>50</v>
      </c>
      <c r="U24" s="42">
        <f>計算表!G10</f>
        <v>0</v>
      </c>
      <c r="V24" s="43" t="s">
        <v>45</v>
      </c>
    </row>
    <row r="25" spans="2:22" ht="20.25" thickTop="1" x14ac:dyDescent="0.4">
      <c r="B25" s="85"/>
      <c r="C25" s="85" t="s">
        <v>66</v>
      </c>
      <c r="D25" s="85"/>
      <c r="E25" s="85"/>
      <c r="F25" s="85"/>
      <c r="G25" s="85"/>
      <c r="H25" s="85"/>
      <c r="J25" s="115" t="s">
        <v>78</v>
      </c>
      <c r="K25" s="115"/>
      <c r="L25" s="115"/>
      <c r="M25" s="115"/>
      <c r="N25" s="115"/>
      <c r="T25" s="48" t="s">
        <v>50</v>
      </c>
      <c r="U25" s="46">
        <f>計算表!G8</f>
        <v>1066</v>
      </c>
      <c r="V25" s="47" t="s">
        <v>45</v>
      </c>
    </row>
    <row r="27" spans="2:22" x14ac:dyDescent="0.4">
      <c r="C27" s="107" t="s">
        <v>20</v>
      </c>
      <c r="D27" s="107"/>
      <c r="E27" s="108">
        <f>計算表!C5</f>
        <v>1097</v>
      </c>
      <c r="F27" s="108"/>
    </row>
    <row r="28" spans="2:22" x14ac:dyDescent="0.4">
      <c r="C28" s="107" t="s">
        <v>88</v>
      </c>
      <c r="D28" s="107"/>
      <c r="E28" s="108">
        <f>計算表!C6</f>
        <v>109</v>
      </c>
      <c r="F28" s="108"/>
    </row>
    <row r="29" spans="2:22" x14ac:dyDescent="0.4">
      <c r="C29" s="110" t="s">
        <v>89</v>
      </c>
      <c r="D29" s="110"/>
      <c r="E29" s="113">
        <f>計算表!C7</f>
        <v>1206</v>
      </c>
      <c r="F29" s="113"/>
    </row>
    <row r="30" spans="2:22" x14ac:dyDescent="0.4">
      <c r="C30" s="98" t="s">
        <v>34</v>
      </c>
      <c r="D30" s="98"/>
      <c r="E30" s="99">
        <f>計算表!C8</f>
        <v>1066</v>
      </c>
      <c r="F30" s="99"/>
    </row>
    <row r="31" spans="2:22" x14ac:dyDescent="0.4">
      <c r="C31" s="98" t="s">
        <v>90</v>
      </c>
      <c r="D31" s="98"/>
      <c r="E31" s="99">
        <f>計算表!C9</f>
        <v>106</v>
      </c>
      <c r="F31" s="99"/>
    </row>
    <row r="32" spans="2:22" x14ac:dyDescent="0.4">
      <c r="C32" s="111" t="s">
        <v>91</v>
      </c>
      <c r="D32" s="111"/>
      <c r="E32" s="112">
        <f>計算表!C10</f>
        <v>1172</v>
      </c>
      <c r="F32" s="112"/>
    </row>
    <row r="33" spans="3:6" ht="20.25" thickBot="1" x14ac:dyDescent="0.45">
      <c r="C33" s="109" t="s">
        <v>35</v>
      </c>
      <c r="D33" s="109"/>
      <c r="E33" s="100">
        <f>E29+E32</f>
        <v>2378</v>
      </c>
      <c r="F33" s="100"/>
    </row>
    <row r="34" spans="3:6" ht="21" thickTop="1" thickBot="1" x14ac:dyDescent="0.45">
      <c r="C34" s="2" t="s">
        <v>92</v>
      </c>
      <c r="D34" s="2"/>
      <c r="E34" s="100">
        <f>E28+E31</f>
        <v>215</v>
      </c>
      <c r="F34" s="100"/>
    </row>
    <row r="35" spans="3:6" ht="20.25" thickTop="1" x14ac:dyDescent="0.4"/>
  </sheetData>
  <mergeCells count="32">
    <mergeCell ref="B1:H1"/>
    <mergeCell ref="B19:F19"/>
    <mergeCell ref="J4:N4"/>
    <mergeCell ref="J13:N13"/>
    <mergeCell ref="J12:N12"/>
    <mergeCell ref="J17:N17"/>
    <mergeCell ref="C6:D6"/>
    <mergeCell ref="E6:F6"/>
    <mergeCell ref="C7:D7"/>
    <mergeCell ref="E7:F7"/>
    <mergeCell ref="C9:D9"/>
    <mergeCell ref="E9:F9"/>
    <mergeCell ref="F3:G3"/>
    <mergeCell ref="J24:N24"/>
    <mergeCell ref="J25:N25"/>
    <mergeCell ref="J16:N16"/>
    <mergeCell ref="J3:N3"/>
    <mergeCell ref="C27:D27"/>
    <mergeCell ref="E27:F27"/>
    <mergeCell ref="C28:D28"/>
    <mergeCell ref="E28:F28"/>
    <mergeCell ref="C29:D29"/>
    <mergeCell ref="E29:F29"/>
    <mergeCell ref="C30:D30"/>
    <mergeCell ref="E30:F30"/>
    <mergeCell ref="E34:F34"/>
    <mergeCell ref="C31:D31"/>
    <mergeCell ref="E31:F31"/>
    <mergeCell ref="C32:D32"/>
    <mergeCell ref="E32:F32"/>
    <mergeCell ref="C33:D33"/>
    <mergeCell ref="E33:F33"/>
  </mergeCells>
  <phoneticPr fontId="1"/>
  <dataValidations count="3">
    <dataValidation type="list" allowBlank="1" showInputMessage="1" showErrorMessage="1" sqref="C4" xr:uid="{00000000-0002-0000-0100-000000000000}">
      <formula1>"一般用,浴場用,臨時用"</formula1>
    </dataValidation>
    <dataValidation type="list" allowBlank="1" showInputMessage="1" showErrorMessage="1" sqref="E4" xr:uid="{00000000-0002-0000-0100-000001000000}">
      <formula1>"2.0,1.0,"</formula1>
    </dataValidation>
    <dataValidation type="list" allowBlank="1" showInputMessage="1" showErrorMessage="1" sqref="D4" xr:uid="{00000000-0002-0000-0100-000002000000}">
      <formula1>koukei</formula1>
    </dataValidation>
  </dataValidations>
  <pageMargins left="0.51181102362204722" right="0.31496062992125984" top="0.74803149606299213" bottom="0.55118110236220474" header="0.31496062992125984" footer="0.31496062992125984"/>
  <pageSetup paperSize="9"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計算表</vt:lpstr>
      <vt:lpstr>シミュレーター</vt:lpstr>
      <vt:lpstr>koukei</vt:lpstr>
      <vt:lpstr>suidou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ふじみ野市水道事業 watuser</dc:creator>
  <cp:lastModifiedBy>ふじみ野市水道事業</cp:lastModifiedBy>
  <cp:lastPrinted>2019-06-04T23:27:00Z</cp:lastPrinted>
  <dcterms:created xsi:type="dcterms:W3CDTF">2018-06-21T04:39:03Z</dcterms:created>
  <dcterms:modified xsi:type="dcterms:W3CDTF">2024-03-07T05:21:07Z</dcterms:modified>
</cp:coreProperties>
</file>